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vro"/>
  <workbookProtection workbookPassword="DC9F" lockStructure="1"/>
  <bookViews>
    <workbookView xWindow="0" yWindow="360" windowWidth="9360" windowHeight="9060" tabRatio="762" activeTab="2"/>
  </bookViews>
  <sheets>
    <sheet name="Início" sheetId="28" r:id="rId1"/>
    <sheet name="Domínio 1" sheetId="10" r:id="rId2"/>
    <sheet name="Domínio 2" sheetId="11" r:id="rId3"/>
    <sheet name="Domínio 3" sheetId="12" r:id="rId4"/>
    <sheet name="Domínio 4" sheetId="13" r:id="rId5"/>
    <sheet name="Metas gerais TEIP" sheetId="9" r:id="rId6"/>
  </sheets>
  <externalReferences>
    <externalReference r:id="rId7"/>
    <externalReference r:id="rId8"/>
  </externalReferences>
  <definedNames>
    <definedName name="_xlnm.Print_Area" localSheetId="1">'Domínio 1'!$B$1:$O$82</definedName>
    <definedName name="_xlnm.Print_Area" localSheetId="2">'Domínio 2'!$B$1:$I$41</definedName>
    <definedName name="_xlnm.Print_Area" localSheetId="3">'Domínio 3'!$B$1:$I$33</definedName>
    <definedName name="_xlnm.Print_Area" localSheetId="4">'Domínio 4'!$B$1:$H$14</definedName>
    <definedName name="b" localSheetId="4">'[1]5_Metas'!#REF!</definedName>
    <definedName name="b">'[1]5_Metas'!#REF!</definedName>
    <definedName name="b_" localSheetId="2">'[1]5_Metas'!#REF!</definedName>
    <definedName name="b_" localSheetId="3">'[1]5_Metas'!#REF!</definedName>
    <definedName name="b_" localSheetId="4">'[1]5_Metas'!#REF!</definedName>
    <definedName name="b_">'[1]5_Metas'!#REF!</definedName>
    <definedName name="b__Resultados_nas_provas_de_aferição_e_exames_nacionais___Língua_Portuguesa_e_Matemática" localSheetId="2">'[1]5_Metas'!#REF!</definedName>
    <definedName name="b__Resultados_nas_provas_de_aferição_e_exames_nacionais___Língua_Portuguesa_e_Matemática" localSheetId="3">'[1]5_Metas'!#REF!</definedName>
    <definedName name="b__Resultados_nas_provas_de_aferição_e_exames_nacionais___Língua_Portuguesa_e_Matemática" localSheetId="4">'[1]5_Metas'!#REF!</definedName>
    <definedName name="b__Resultados_nas_provas_de_aferição_e_exames_nacionais___Língua_Portuguesa_e_Matemática">'[1]5_Metas'!#REF!</definedName>
    <definedName name="c__Taxa_de_abandono_por_ciclo" localSheetId="2">'[1]5_Metas'!#REF!</definedName>
    <definedName name="c__Taxa_de_abandono_por_ciclo" localSheetId="3">'[1]5_Metas'!#REF!</definedName>
    <definedName name="c__Taxa_de_abandono_por_ciclo" localSheetId="4">'[1]5_Metas'!#REF!</definedName>
    <definedName name="c__Taxa_de_abandono_por_ciclo">'[1]5_Metas'!#REF!</definedName>
    <definedName name="d__Taxa_de_absentismo_por_ciclo" localSheetId="2">'[1]5_Metas'!#REF!</definedName>
    <definedName name="d__Taxa_de_absentismo_por_ciclo" localSheetId="3">'[1]5_Metas'!#REF!</definedName>
    <definedName name="d__Taxa_de_absentismo_por_ciclo" localSheetId="4">'[1]5_Metas'!#REF!</definedName>
    <definedName name="d__Taxa_de_absentismo_por_ciclo">'[1]5_Metas'!#REF!</definedName>
    <definedName name="e__Indisciplina" localSheetId="2">'[1]5_Metas'!#REF!</definedName>
    <definedName name="e__Indisciplina" localSheetId="3">'[1]5_Metas'!#REF!</definedName>
    <definedName name="e__Indisciplina" localSheetId="4">'[1]5_Metas'!#REF!</definedName>
    <definedName name="e__Indisciplina">'[1]5_Metas'!#REF!</definedName>
    <definedName name="H">'[2]5_Metas'!#REF!</definedName>
    <definedName name="o">'[2]5_Metas'!#REF!</definedName>
    <definedName name="_xlnm.Print_Titles" localSheetId="1">'Domínio 1'!#REF!</definedName>
    <definedName name="_xlnm.Print_Titles" localSheetId="2">'Domínio 2'!#REF!</definedName>
    <definedName name="_xlnm.Print_Titles" localSheetId="3">'Domínio 3'!#REF!</definedName>
    <definedName name="_xlnm.Print_Titles" localSheetId="4">'Domínio 4'!#REF!</definedName>
  </definedNames>
  <calcPr calcId="145621"/>
</workbook>
</file>

<file path=xl/calcChain.xml><?xml version="1.0" encoding="utf-8"?>
<calcChain xmlns="http://schemas.openxmlformats.org/spreadsheetml/2006/main">
  <c r="D19" i="9" l="1"/>
  <c r="J2" i="12" l="1"/>
  <c r="B1" i="13"/>
  <c r="F81" i="10"/>
  <c r="F80" i="10"/>
  <c r="F79" i="10"/>
  <c r="F78" i="10"/>
  <c r="F69" i="10"/>
  <c r="F70" i="10"/>
  <c r="F71" i="10"/>
  <c r="F72" i="10"/>
  <c r="I50" i="10"/>
  <c r="I14" i="10"/>
  <c r="I59" i="10"/>
  <c r="I58" i="10"/>
  <c r="I57" i="10"/>
  <c r="I56" i="10"/>
  <c r="I49" i="10"/>
  <c r="I48" i="10"/>
  <c r="I47" i="10"/>
  <c r="I41" i="10"/>
  <c r="I40" i="10"/>
  <c r="I39" i="10"/>
  <c r="I38" i="10"/>
  <c r="I32" i="10"/>
  <c r="I31" i="10"/>
  <c r="I30" i="10"/>
  <c r="I29" i="10"/>
  <c r="I23" i="10"/>
  <c r="I22" i="10"/>
  <c r="I21" i="10"/>
  <c r="I20" i="10"/>
  <c r="I11" i="10"/>
  <c r="I12" i="10"/>
  <c r="I13" i="10"/>
  <c r="L81" i="10"/>
  <c r="L80" i="10"/>
  <c r="L20" i="9"/>
  <c r="AO20" i="9" s="1"/>
  <c r="L79" i="10"/>
  <c r="K20" i="9" s="1"/>
  <c r="AG20" i="9" s="1"/>
  <c r="L78" i="10"/>
  <c r="J20" i="9"/>
  <c r="Y20" i="9" s="1"/>
  <c r="L69" i="10"/>
  <c r="J18" i="9" s="1"/>
  <c r="Y18" i="9" s="1"/>
  <c r="L70" i="10"/>
  <c r="L71" i="10"/>
  <c r="L18" i="9" s="1"/>
  <c r="AO18" i="9" s="1"/>
  <c r="L72" i="10"/>
  <c r="M18" i="9"/>
  <c r="AW18" i="9" s="1"/>
  <c r="I81" i="10"/>
  <c r="M19" i="9" s="1"/>
  <c r="AW19" i="9" s="1"/>
  <c r="I80" i="10"/>
  <c r="L19" i="9"/>
  <c r="AO19" i="9" s="1"/>
  <c r="I79" i="10"/>
  <c r="K19" i="9" s="1"/>
  <c r="AG19" i="9" s="1"/>
  <c r="I78" i="10"/>
  <c r="J19" i="9" s="1"/>
  <c r="Y19" i="9" s="1"/>
  <c r="I71" i="10"/>
  <c r="L17" i="9" s="1"/>
  <c r="AO17" i="9" s="1"/>
  <c r="I40" i="11"/>
  <c r="M28" i="9" s="1"/>
  <c r="AW28" i="9" s="1"/>
  <c r="F40" i="11"/>
  <c r="M27" i="9" s="1"/>
  <c r="AW27" i="9" s="1"/>
  <c r="I39" i="11"/>
  <c r="L28" i="9" s="1"/>
  <c r="AO28" i="9" s="1"/>
  <c r="F39" i="11"/>
  <c r="L27" i="9" s="1"/>
  <c r="AO27" i="9" s="1"/>
  <c r="I38" i="11"/>
  <c r="K28" i="9" s="1"/>
  <c r="AG28" i="9" s="1"/>
  <c r="F38" i="11"/>
  <c r="K27" i="9" s="1"/>
  <c r="AG27" i="9" s="1"/>
  <c r="I37" i="11"/>
  <c r="J28" i="9" s="1"/>
  <c r="Y28" i="9" s="1"/>
  <c r="F37" i="11"/>
  <c r="J27" i="9" s="1"/>
  <c r="Y27" i="9" s="1"/>
  <c r="I31" i="11"/>
  <c r="M26" i="9" s="1"/>
  <c r="AW26" i="9" s="1"/>
  <c r="F31" i="11"/>
  <c r="M25" i="9" s="1"/>
  <c r="AW25" i="9" s="1"/>
  <c r="I30" i="11"/>
  <c r="L26" i="9" s="1"/>
  <c r="AO26" i="9" s="1"/>
  <c r="F30" i="11"/>
  <c r="L25" i="9" s="1"/>
  <c r="AO25" i="9" s="1"/>
  <c r="I29" i="11"/>
  <c r="K26" i="9" s="1"/>
  <c r="AG26" i="9" s="1"/>
  <c r="F29" i="11"/>
  <c r="K25" i="9" s="1"/>
  <c r="AG25" i="9" s="1"/>
  <c r="I28" i="11"/>
  <c r="J26" i="9" s="1"/>
  <c r="Y26" i="9" s="1"/>
  <c r="F28" i="11"/>
  <c r="J25" i="9" s="1"/>
  <c r="Y25" i="9" s="1"/>
  <c r="I22" i="11"/>
  <c r="M24" i="9" s="1"/>
  <c r="AW24" i="9" s="1"/>
  <c r="F22" i="11"/>
  <c r="M23" i="9" s="1"/>
  <c r="AW23" i="9" s="1"/>
  <c r="I21" i="11"/>
  <c r="L24" i="9" s="1"/>
  <c r="AO24" i="9" s="1"/>
  <c r="F21" i="11"/>
  <c r="L23" i="9" s="1"/>
  <c r="AO23" i="9" s="1"/>
  <c r="I20" i="11"/>
  <c r="K24" i="9" s="1"/>
  <c r="AG24" i="9" s="1"/>
  <c r="F20" i="11"/>
  <c r="K23" i="9" s="1"/>
  <c r="AG23" i="9" s="1"/>
  <c r="I19" i="11"/>
  <c r="J24" i="9" s="1"/>
  <c r="Y24" i="9" s="1"/>
  <c r="F19" i="11"/>
  <c r="J23" i="9" s="1"/>
  <c r="Y23" i="9" s="1"/>
  <c r="K18" i="9"/>
  <c r="AG18" i="9" s="1"/>
  <c r="G12" i="13"/>
  <c r="H12" i="13"/>
  <c r="M32" i="9" s="1"/>
  <c r="AW32" i="9" s="1"/>
  <c r="G11" i="13"/>
  <c r="H11" i="13"/>
  <c r="L32" i="9" s="1"/>
  <c r="AO32" i="9" s="1"/>
  <c r="G10" i="13"/>
  <c r="H10" i="13"/>
  <c r="K32" i="9" s="1"/>
  <c r="AG32" i="9" s="1"/>
  <c r="G9" i="13"/>
  <c r="H9" i="13"/>
  <c r="J32" i="9" s="1"/>
  <c r="Y32" i="9" s="1"/>
  <c r="H32" i="12"/>
  <c r="I32" i="12"/>
  <c r="M31" i="9" s="1"/>
  <c r="AW31" i="9" s="1"/>
  <c r="H31" i="12"/>
  <c r="I31" i="12"/>
  <c r="L31" i="9" s="1"/>
  <c r="AO31" i="9" s="1"/>
  <c r="I30" i="12"/>
  <c r="K31" i="9" s="1"/>
  <c r="AG31" i="9" s="1"/>
  <c r="H30" i="12"/>
  <c r="H29" i="12"/>
  <c r="I29" i="12"/>
  <c r="J31" i="9" s="1"/>
  <c r="Y31" i="9" s="1"/>
  <c r="H23" i="12"/>
  <c r="I23" i="12"/>
  <c r="M30" i="9"/>
  <c r="AW30" i="9" s="1"/>
  <c r="I22" i="12"/>
  <c r="L30" i="9" s="1"/>
  <c r="AO30" i="9" s="1"/>
  <c r="H22" i="12"/>
  <c r="H21" i="12"/>
  <c r="I21" i="12"/>
  <c r="K30" i="9"/>
  <c r="AG30" i="9" s="1"/>
  <c r="H20" i="12"/>
  <c r="I20" i="12" s="1"/>
  <c r="J30" i="9" s="1"/>
  <c r="Y30" i="9" s="1"/>
  <c r="H14" i="12"/>
  <c r="I14" i="12"/>
  <c r="M29" i="9"/>
  <c r="I13" i="12"/>
  <c r="L29" i="9"/>
  <c r="AO29" i="9" s="1"/>
  <c r="H13" i="12"/>
  <c r="H12" i="12"/>
  <c r="I12" i="12"/>
  <c r="K29" i="9" s="1"/>
  <c r="AG29" i="9" s="1"/>
  <c r="H11" i="12"/>
  <c r="I11" i="12" s="1"/>
  <c r="J29" i="9" s="1"/>
  <c r="Y29" i="9" s="1"/>
  <c r="I13" i="11"/>
  <c r="M22" i="9" s="1"/>
  <c r="AW22" i="9" s="1"/>
  <c r="F13" i="11"/>
  <c r="M21" i="9" s="1"/>
  <c r="AW21" i="9" s="1"/>
  <c r="I12" i="11"/>
  <c r="L22" i="9" s="1"/>
  <c r="AO22" i="9" s="1"/>
  <c r="F12" i="11"/>
  <c r="L21" i="9" s="1"/>
  <c r="AO21" i="9" s="1"/>
  <c r="I11" i="11"/>
  <c r="K22" i="9" s="1"/>
  <c r="AG22" i="9" s="1"/>
  <c r="F11" i="11"/>
  <c r="K21" i="9" s="1"/>
  <c r="AG21" i="9" s="1"/>
  <c r="I10" i="11"/>
  <c r="J22" i="9" s="1"/>
  <c r="Y22" i="9" s="1"/>
  <c r="F10" i="11"/>
  <c r="J21" i="9" s="1"/>
  <c r="Y21" i="9" s="1"/>
  <c r="M20" i="9"/>
  <c r="AW20" i="9" s="1"/>
  <c r="G81" i="10"/>
  <c r="G80" i="10"/>
  <c r="G79" i="10"/>
  <c r="G78" i="10"/>
  <c r="G72" i="10"/>
  <c r="I72" i="10"/>
  <c r="M17" i="9"/>
  <c r="AW17" i="9" s="1"/>
  <c r="G71" i="10"/>
  <c r="G70" i="10"/>
  <c r="I70" i="10"/>
  <c r="K17" i="9" s="1"/>
  <c r="AG17" i="9" s="1"/>
  <c r="G69" i="10"/>
  <c r="I69" i="10"/>
  <c r="J17" i="9" s="1"/>
  <c r="Y17" i="9" s="1"/>
  <c r="M59" i="10"/>
  <c r="O59" i="10"/>
  <c r="M16" i="9"/>
  <c r="AW16" i="9" s="1"/>
  <c r="J59" i="10"/>
  <c r="L59" i="10"/>
  <c r="M15" i="9"/>
  <c r="AW15" i="9" s="1"/>
  <c r="M58" i="10"/>
  <c r="O58" i="10"/>
  <c r="L16" i="9"/>
  <c r="AO16" i="9" s="1"/>
  <c r="J58" i="10"/>
  <c r="L58" i="10"/>
  <c r="L15" i="9"/>
  <c r="AO15" i="9" s="1"/>
  <c r="M57" i="10"/>
  <c r="O57" i="10"/>
  <c r="K16" i="9"/>
  <c r="AG16" i="9" s="1"/>
  <c r="J57" i="10"/>
  <c r="L57" i="10"/>
  <c r="K15" i="9"/>
  <c r="AG15" i="9" s="1"/>
  <c r="M56" i="10"/>
  <c r="O56" i="10"/>
  <c r="J16" i="9"/>
  <c r="Y16" i="9" s="1"/>
  <c r="J56" i="10"/>
  <c r="L56" i="10"/>
  <c r="J15" i="9"/>
  <c r="Y15" i="9" s="1"/>
  <c r="M50" i="10"/>
  <c r="O50" i="10"/>
  <c r="M14" i="9"/>
  <c r="AW14" i="9" s="1"/>
  <c r="J50" i="10"/>
  <c r="L50" i="10"/>
  <c r="M13" i="9" s="1"/>
  <c r="AW13" i="9" s="1"/>
  <c r="M49" i="10"/>
  <c r="O49" i="10"/>
  <c r="L14" i="9"/>
  <c r="AO14" i="9" s="1"/>
  <c r="J49" i="10"/>
  <c r="L49" i="10"/>
  <c r="L13" i="9" s="1"/>
  <c r="AO13" i="9" s="1"/>
  <c r="M48" i="10"/>
  <c r="O48" i="10"/>
  <c r="K14" i="9"/>
  <c r="AG14" i="9" s="1"/>
  <c r="J48" i="10"/>
  <c r="L48" i="10"/>
  <c r="K13" i="9" s="1"/>
  <c r="AG13" i="9" s="1"/>
  <c r="M47" i="10"/>
  <c r="O47" i="10"/>
  <c r="J14" i="9"/>
  <c r="Y14" i="9" s="1"/>
  <c r="J47" i="10"/>
  <c r="L47" i="10"/>
  <c r="J13" i="9" s="1"/>
  <c r="Y13" i="9" s="1"/>
  <c r="M41" i="10"/>
  <c r="O41" i="10"/>
  <c r="M12" i="9" s="1"/>
  <c r="AW12" i="9" s="1"/>
  <c r="J41" i="10"/>
  <c r="L41" i="10"/>
  <c r="M11" i="9" s="1"/>
  <c r="AW11" i="9" s="1"/>
  <c r="O40" i="10"/>
  <c r="L12" i="9"/>
  <c r="AO12" i="9" s="1"/>
  <c r="M40" i="10"/>
  <c r="L40" i="10"/>
  <c r="L11" i="9" s="1"/>
  <c r="AO11" i="9" s="1"/>
  <c r="J40" i="10"/>
  <c r="O39" i="10"/>
  <c r="K12" i="9"/>
  <c r="AG12" i="9" s="1"/>
  <c r="M39" i="10"/>
  <c r="L39" i="10"/>
  <c r="K11" i="9" s="1"/>
  <c r="AG11" i="9" s="1"/>
  <c r="J39" i="10"/>
  <c r="M38" i="10"/>
  <c r="O38" i="10"/>
  <c r="J12" i="9" s="1"/>
  <c r="Y12" i="9" s="1"/>
  <c r="L38" i="10"/>
  <c r="J11" i="9"/>
  <c r="Y11" i="9" s="1"/>
  <c r="J38" i="10"/>
  <c r="M32" i="10"/>
  <c r="O32" i="10"/>
  <c r="M10" i="9" s="1"/>
  <c r="AW10" i="9" s="1"/>
  <c r="J32" i="10"/>
  <c r="L32" i="10"/>
  <c r="M9" i="9" s="1"/>
  <c r="AW9" i="9" s="1"/>
  <c r="M31" i="10"/>
  <c r="O31" i="10"/>
  <c r="L10" i="9" s="1"/>
  <c r="AO10" i="9" s="1"/>
  <c r="J31" i="10"/>
  <c r="L31" i="10"/>
  <c r="L9" i="9" s="1"/>
  <c r="AO9" i="9" s="1"/>
  <c r="M30" i="10"/>
  <c r="O30" i="10"/>
  <c r="K10" i="9" s="1"/>
  <c r="AG10" i="9" s="1"/>
  <c r="J30" i="10"/>
  <c r="L30" i="10"/>
  <c r="K9" i="9" s="1"/>
  <c r="AG9" i="9" s="1"/>
  <c r="M29" i="10"/>
  <c r="O29" i="10"/>
  <c r="J10" i="9" s="1"/>
  <c r="Y10" i="9" s="1"/>
  <c r="J29" i="10"/>
  <c r="L29" i="10"/>
  <c r="J9" i="9" s="1"/>
  <c r="Y9" i="9" s="1"/>
  <c r="M23" i="10"/>
  <c r="O23" i="10"/>
  <c r="M8" i="9" s="1"/>
  <c r="AW8" i="9" s="1"/>
  <c r="M22" i="10"/>
  <c r="M21" i="10"/>
  <c r="O21" i="10"/>
  <c r="K8" i="9"/>
  <c r="AG8" i="9" s="1"/>
  <c r="M20" i="10"/>
  <c r="O20" i="10"/>
  <c r="J8" i="9" s="1"/>
  <c r="Y8" i="9" s="1"/>
  <c r="O22" i="10"/>
  <c r="L8" i="9" s="1"/>
  <c r="AO8" i="9" s="1"/>
  <c r="M14" i="10"/>
  <c r="O14" i="10"/>
  <c r="M6" i="9" s="1"/>
  <c r="AW6" i="9" s="1"/>
  <c r="J14" i="10"/>
  <c r="L14" i="10"/>
  <c r="M5" i="9" s="1"/>
  <c r="AW5" i="9" s="1"/>
  <c r="J23" i="10"/>
  <c r="L23" i="10"/>
  <c r="M7" i="9" s="1"/>
  <c r="AW7" i="9" s="1"/>
  <c r="J22" i="10"/>
  <c r="L22" i="10"/>
  <c r="L7" i="9" s="1"/>
  <c r="AO7" i="9" s="1"/>
  <c r="J21" i="10"/>
  <c r="L21" i="10"/>
  <c r="K7" i="9" s="1"/>
  <c r="AG7" i="9" s="1"/>
  <c r="J20" i="10"/>
  <c r="L20" i="10"/>
  <c r="J7" i="9" s="1"/>
  <c r="Y7" i="9" s="1"/>
  <c r="M13" i="10"/>
  <c r="O13" i="10"/>
  <c r="L6" i="9"/>
  <c r="AO6" i="9" s="1"/>
  <c r="J13" i="10"/>
  <c r="L13" i="10"/>
  <c r="L5" i="9" s="1"/>
  <c r="AO5" i="9" s="1"/>
  <c r="M12" i="10"/>
  <c r="O12" i="10"/>
  <c r="K6" i="9"/>
  <c r="AG6" i="9" s="1"/>
  <c r="J12" i="10"/>
  <c r="L12" i="10"/>
  <c r="K5" i="9" s="1"/>
  <c r="AG5" i="9" s="1"/>
  <c r="M11" i="10"/>
  <c r="O11" i="10"/>
  <c r="J6" i="9"/>
  <c r="Y6" i="9" s="1"/>
  <c r="J11" i="10"/>
  <c r="L11" i="10"/>
  <c r="J5" i="9" s="1"/>
  <c r="Y5" i="9" s="1"/>
  <c r="AW29" i="9"/>
  <c r="B1" i="9" l="1"/>
  <c r="B1" i="11"/>
  <c r="B1" i="12"/>
  <c r="I2" i="13"/>
  <c r="J2" i="11"/>
  <c r="P2" i="10"/>
  <c r="B1" i="10"/>
  <c r="H28" i="12" l="1"/>
  <c r="I28" i="12" s="1"/>
  <c r="I31" i="9" s="1"/>
  <c r="Q31" i="9" s="1"/>
  <c r="H19" i="12"/>
  <c r="I19" i="12" s="1"/>
  <c r="I30" i="9" s="1"/>
  <c r="Q30" i="9" s="1"/>
  <c r="G6" i="13"/>
  <c r="H6" i="13" s="1"/>
  <c r="G32" i="9" s="1"/>
  <c r="H18" i="12"/>
  <c r="I18" i="12" s="1"/>
  <c r="H30" i="9" s="1"/>
  <c r="H26" i="12"/>
  <c r="I26" i="12" s="1"/>
  <c r="G31" i="9" s="1"/>
  <c r="H27" i="12"/>
  <c r="I27" i="12" s="1"/>
  <c r="H31" i="9" s="1"/>
  <c r="F66" i="10"/>
  <c r="U73" i="10"/>
  <c r="I6" i="11"/>
  <c r="F22" i="9" s="1"/>
  <c r="F6" i="11"/>
  <c r="F21" i="9" s="1"/>
  <c r="J27" i="10"/>
  <c r="L27" i="10" s="1"/>
  <c r="H9" i="9" s="1"/>
  <c r="H10" i="12"/>
  <c r="I10" i="12" s="1"/>
  <c r="I29" i="9" s="1"/>
  <c r="Q29" i="9" s="1"/>
  <c r="I19" i="10"/>
  <c r="H9" i="12"/>
  <c r="I9" i="12" s="1"/>
  <c r="H29" i="9" s="1"/>
  <c r="H7" i="12"/>
  <c r="I7" i="12" s="1"/>
  <c r="F29" i="9" s="1"/>
  <c r="H8" i="12"/>
  <c r="I8" i="12" s="1"/>
  <c r="G29" i="9" s="1"/>
  <c r="H16" i="12"/>
  <c r="I16" i="12" s="1"/>
  <c r="F30" i="9" s="1"/>
  <c r="H25" i="12"/>
  <c r="I25" i="12" s="1"/>
  <c r="F31" i="9" s="1"/>
  <c r="J8" i="10"/>
  <c r="L8" i="10" s="1"/>
  <c r="G5" i="9" s="1"/>
  <c r="H17" i="12"/>
  <c r="I17" i="12" s="1"/>
  <c r="G30" i="9" s="1"/>
  <c r="M35" i="10"/>
  <c r="O35" i="10" s="1"/>
  <c r="G12" i="9" s="1"/>
  <c r="I33" i="11" l="1"/>
  <c r="F28" i="9" s="1"/>
  <c r="I17" i="11"/>
  <c r="H24" i="9" s="1"/>
  <c r="F33" i="11"/>
  <c r="F27" i="9" s="1"/>
  <c r="F65" i="10"/>
  <c r="I27" i="11"/>
  <c r="I26" i="9" s="1"/>
  <c r="Q26" i="9" s="1"/>
  <c r="I18" i="11"/>
  <c r="I24" i="9" s="1"/>
  <c r="Q24" i="9" s="1"/>
  <c r="G5" i="13"/>
  <c r="G65" i="10"/>
  <c r="H5" i="13"/>
  <c r="J26" i="10"/>
  <c r="L26" i="10" s="1"/>
  <c r="G9" i="9" s="1"/>
  <c r="M8" i="10"/>
  <c r="O8" i="10" s="1"/>
  <c r="G6" i="9" s="1"/>
  <c r="J55" i="10"/>
  <c r="L55" i="10" s="1"/>
  <c r="I15" i="9" s="1"/>
  <c r="Q15" i="9" s="1"/>
  <c r="J52" i="10"/>
  <c r="L52" i="10" s="1"/>
  <c r="F15" i="9" s="1"/>
  <c r="J17" i="10"/>
  <c r="L17" i="10" s="1"/>
  <c r="G7" i="9" s="1"/>
  <c r="I9" i="10"/>
  <c r="I28" i="10"/>
  <c r="M44" i="10"/>
  <c r="O44" i="10" s="1"/>
  <c r="G14" i="9" s="1"/>
  <c r="J54" i="10"/>
  <c r="L54" i="10" s="1"/>
  <c r="H15" i="9" s="1"/>
  <c r="J36" i="10"/>
  <c r="L36" i="10" s="1"/>
  <c r="H11" i="9" s="1"/>
  <c r="J34" i="10"/>
  <c r="L34" i="10" s="1"/>
  <c r="F11" i="9" s="1"/>
  <c r="J18" i="10"/>
  <c r="L18" i="10" s="1"/>
  <c r="H7" i="9" s="1"/>
  <c r="M43" i="10"/>
  <c r="O43" i="10" s="1"/>
  <c r="F14" i="9" s="1"/>
  <c r="M45" i="10"/>
  <c r="O45" i="10" s="1"/>
  <c r="H14" i="9" s="1"/>
  <c r="J35" i="10"/>
  <c r="L35" i="10" s="1"/>
  <c r="G11" i="9" s="1"/>
  <c r="M7" i="10"/>
  <c r="O7" i="10" s="1"/>
  <c r="F6" i="9" s="1"/>
  <c r="M19" i="10"/>
  <c r="O19" i="10" s="1"/>
  <c r="I8" i="9" s="1"/>
  <c r="Q8" i="9" s="1"/>
  <c r="J16" i="10"/>
  <c r="L16" i="10" s="1"/>
  <c r="F7" i="9" s="1"/>
  <c r="M25" i="10"/>
  <c r="O25" i="10" s="1"/>
  <c r="F10" i="9" s="1"/>
  <c r="J37" i="10"/>
  <c r="L37" i="10" s="1"/>
  <c r="I11" i="9" s="1"/>
  <c r="Q11" i="9" s="1"/>
  <c r="I55" i="10"/>
  <c r="I17" i="10"/>
  <c r="M9" i="10"/>
  <c r="O9" i="10" s="1"/>
  <c r="H6" i="9" s="1"/>
  <c r="I27" i="10"/>
  <c r="J53" i="10"/>
  <c r="L53" i="10" s="1"/>
  <c r="G15" i="9" s="1"/>
  <c r="I10" i="10"/>
  <c r="J28" i="10"/>
  <c r="L28" i="10" s="1"/>
  <c r="I9" i="9" s="1"/>
  <c r="Q9" i="9" s="1"/>
  <c r="M26" i="10"/>
  <c r="O26" i="10" s="1"/>
  <c r="G10" i="9" s="1"/>
  <c r="G66" i="10"/>
  <c r="I37" i="10"/>
  <c r="J10" i="10"/>
  <c r="L10" i="10" s="1"/>
  <c r="I5" i="9" s="1"/>
  <c r="Q5" i="9" s="1"/>
  <c r="I43" i="10"/>
  <c r="M18" i="10"/>
  <c r="O18" i="10" s="1"/>
  <c r="H8" i="9" s="1"/>
  <c r="J45" i="10"/>
  <c r="L45" i="10" s="1"/>
  <c r="H13" i="9" s="1"/>
  <c r="I54" i="10"/>
  <c r="I45" i="10"/>
  <c r="M36" i="10"/>
  <c r="O36" i="10" s="1"/>
  <c r="H12" i="9" s="1"/>
  <c r="J19" i="10"/>
  <c r="L19" i="10" s="1"/>
  <c r="I7" i="9" s="1"/>
  <c r="Q7" i="9" s="1"/>
  <c r="M16" i="10"/>
  <c r="O16" i="10" s="1"/>
  <c r="F8" i="9" s="1"/>
  <c r="J7" i="10"/>
  <c r="L7" i="10" s="1"/>
  <c r="F5" i="9" s="1"/>
  <c r="J44" i="10"/>
  <c r="L44" i="10" s="1"/>
  <c r="G13" i="9" s="1"/>
  <c r="M54" i="10"/>
  <c r="O54" i="10" s="1"/>
  <c r="H16" i="9" s="1"/>
  <c r="I36" i="10"/>
  <c r="G8" i="13"/>
  <c r="H8" i="13" s="1"/>
  <c r="I32" i="9" s="1"/>
  <c r="Q32" i="9" s="1"/>
  <c r="M46" i="10"/>
  <c r="O46" i="10" s="1"/>
  <c r="I14" i="9" s="1"/>
  <c r="Q14" i="9" s="1"/>
  <c r="M34" i="10"/>
  <c r="O34" i="10" s="1"/>
  <c r="F12" i="9" s="1"/>
  <c r="M37" i="10"/>
  <c r="O37" i="10" s="1"/>
  <c r="I12" i="9" s="1"/>
  <c r="Q12" i="9" s="1"/>
  <c r="M55" i="10"/>
  <c r="O55" i="10" s="1"/>
  <c r="I16" i="9" s="1"/>
  <c r="Q16" i="9" s="1"/>
  <c r="M52" i="10"/>
  <c r="O52" i="10" s="1"/>
  <c r="F16" i="9" s="1"/>
  <c r="M17" i="10"/>
  <c r="O17" i="10" s="1"/>
  <c r="G8" i="9" s="1"/>
  <c r="J9" i="10"/>
  <c r="L9" i="10" s="1"/>
  <c r="H5" i="9" s="1"/>
  <c r="M27" i="10"/>
  <c r="O27" i="10" s="1"/>
  <c r="H10" i="9" s="1"/>
  <c r="M53" i="10"/>
  <c r="O53" i="10" s="1"/>
  <c r="G16" i="9" s="1"/>
  <c r="M10" i="10"/>
  <c r="O10" i="10" s="1"/>
  <c r="I6" i="9" s="1"/>
  <c r="Q6" i="9" s="1"/>
  <c r="J25" i="10"/>
  <c r="L25" i="10" s="1"/>
  <c r="F9" i="9" s="1"/>
  <c r="AH9" i="9" s="1"/>
  <c r="M28" i="10"/>
  <c r="O28" i="10" s="1"/>
  <c r="I10" i="9" s="1"/>
  <c r="Q10" i="9" s="1"/>
  <c r="J46" i="10"/>
  <c r="L46" i="10" s="1"/>
  <c r="I13" i="9" s="1"/>
  <c r="Q13" i="9" s="1"/>
  <c r="I53" i="10"/>
  <c r="I35" i="10"/>
  <c r="I8" i="10"/>
  <c r="I26" i="10"/>
  <c r="J43" i="10"/>
  <c r="L43" i="10" s="1"/>
  <c r="F13" i="9" s="1"/>
  <c r="I52" i="10"/>
  <c r="I34" i="10"/>
  <c r="I18" i="10"/>
  <c r="I16" i="10"/>
  <c r="I7" i="10"/>
  <c r="I25" i="10"/>
  <c r="I8" i="11"/>
  <c r="H22" i="9" s="1"/>
  <c r="F8" i="11"/>
  <c r="H21" i="9" s="1"/>
  <c r="I35" i="11"/>
  <c r="H28" i="9" s="1"/>
  <c r="F35" i="11"/>
  <c r="H27" i="9" s="1"/>
  <c r="I46" i="10"/>
  <c r="I44" i="10"/>
  <c r="I36" i="11"/>
  <c r="I28" i="9" s="1"/>
  <c r="Q28" i="9" s="1"/>
  <c r="I34" i="11"/>
  <c r="G28" i="9" s="1"/>
  <c r="F36" i="11"/>
  <c r="I27" i="9" s="1"/>
  <c r="Q27" i="9" s="1"/>
  <c r="F34" i="11"/>
  <c r="G27" i="9" s="1"/>
  <c r="F74" i="10"/>
  <c r="G7" i="13"/>
  <c r="H7" i="13" s="1"/>
  <c r="H32" i="9" s="1"/>
  <c r="I9" i="11"/>
  <c r="I22" i="9" s="1"/>
  <c r="Q22" i="9" s="1"/>
  <c r="I7" i="11"/>
  <c r="G22" i="9" s="1"/>
  <c r="F9" i="11"/>
  <c r="I21" i="9" s="1"/>
  <c r="Q21" i="9" s="1"/>
  <c r="F7" i="11"/>
  <c r="G21" i="9" s="1"/>
  <c r="G74" i="10"/>
  <c r="I25" i="11"/>
  <c r="G26" i="9" s="1"/>
  <c r="F27" i="11"/>
  <c r="I25" i="9" s="1"/>
  <c r="Q25" i="9" s="1"/>
  <c r="F25" i="11"/>
  <c r="G25" i="9" s="1"/>
  <c r="I16" i="11"/>
  <c r="G24" i="9" s="1"/>
  <c r="F18" i="11"/>
  <c r="I23" i="9" s="1"/>
  <c r="Q23" i="9" s="1"/>
  <c r="F16" i="11"/>
  <c r="G23" i="9" s="1"/>
  <c r="G75" i="10"/>
  <c r="F75" i="10"/>
  <c r="G77" i="10"/>
  <c r="F77" i="10"/>
  <c r="I26" i="11"/>
  <c r="H26" i="9" s="1"/>
  <c r="I24" i="11"/>
  <c r="F26" i="9" s="1"/>
  <c r="F26" i="11"/>
  <c r="H25" i="9" s="1"/>
  <c r="F24" i="11"/>
  <c r="F25" i="9" s="1"/>
  <c r="I15" i="11"/>
  <c r="F24" i="9" s="1"/>
  <c r="F17" i="11"/>
  <c r="H23" i="9" s="1"/>
  <c r="F15" i="11"/>
  <c r="F23" i="9" s="1"/>
  <c r="G76" i="10"/>
  <c r="F76" i="10"/>
  <c r="G68" i="10"/>
  <c r="F68" i="10"/>
  <c r="I74" i="10"/>
  <c r="F19" i="9" s="1"/>
  <c r="G67" i="10"/>
  <c r="F67" i="10"/>
  <c r="N31" i="9"/>
  <c r="AX31" i="9"/>
  <c r="AY31" i="9" s="1"/>
  <c r="AZ31" i="9" s="1"/>
  <c r="AH31" i="9"/>
  <c r="AI31" i="9" s="1"/>
  <c r="AJ31" i="9" s="1"/>
  <c r="V31" i="9"/>
  <c r="AP31" i="9"/>
  <c r="AQ31" i="9" s="1"/>
  <c r="AR31" i="9" s="1"/>
  <c r="Z31" i="9"/>
  <c r="AA31" i="9" s="1"/>
  <c r="AB31" i="9" s="1"/>
  <c r="N29" i="9"/>
  <c r="AX29" i="9"/>
  <c r="AY29" i="9" s="1"/>
  <c r="AH29" i="9"/>
  <c r="AI29" i="9" s="1"/>
  <c r="Z29" i="9"/>
  <c r="AA29" i="9" s="1"/>
  <c r="AP29" i="9"/>
  <c r="AQ29" i="9" s="1"/>
  <c r="N30" i="9"/>
  <c r="AP30" i="9"/>
  <c r="AQ30" i="9" s="1"/>
  <c r="AR30" i="9" s="1"/>
  <c r="Z30" i="9"/>
  <c r="AA30" i="9" s="1"/>
  <c r="AB30" i="9" s="1"/>
  <c r="V30" i="9"/>
  <c r="AX30" i="9"/>
  <c r="AY30" i="9" s="1"/>
  <c r="AZ30" i="9" s="1"/>
  <c r="AH30" i="9"/>
  <c r="AI30" i="9" s="1"/>
  <c r="AJ30" i="9" s="1"/>
  <c r="I65" i="10" l="1"/>
  <c r="F17" i="9" s="1"/>
  <c r="L66" i="10"/>
  <c r="G18" i="9" s="1"/>
  <c r="F32" i="9"/>
  <c r="N32" i="9" s="1"/>
  <c r="P32" i="9" s="1"/>
  <c r="R32" i="9" s="1"/>
  <c r="S32" i="9" s="1"/>
  <c r="AH8" i="9"/>
  <c r="N9" i="9"/>
  <c r="P9" i="9" s="1"/>
  <c r="R9" i="9" s="1"/>
  <c r="V5" i="9"/>
  <c r="W5" i="9" s="1"/>
  <c r="N15" i="9"/>
  <c r="AP12" i="9"/>
  <c r="N14" i="9"/>
  <c r="Z11" i="9"/>
  <c r="Z7" i="9"/>
  <c r="AX9" i="9"/>
  <c r="I66" i="10"/>
  <c r="G17" i="9" s="1"/>
  <c r="AH5" i="9"/>
  <c r="AX16" i="9"/>
  <c r="Z13" i="9"/>
  <c r="Z6" i="9"/>
  <c r="Z10" i="9"/>
  <c r="Z14" i="9"/>
  <c r="AH11" i="9"/>
  <c r="N7" i="9"/>
  <c r="P7" i="9" s="1"/>
  <c r="R7" i="9" s="1"/>
  <c r="Z5" i="9"/>
  <c r="Z9" i="9"/>
  <c r="AX8" i="9"/>
  <c r="N12" i="9"/>
  <c r="N6" i="9"/>
  <c r="P6" i="9" s="1"/>
  <c r="R6" i="9" s="1"/>
  <c r="N13" i="9"/>
  <c r="P13" i="9" s="1"/>
  <c r="R13" i="9" s="1"/>
  <c r="AH10" i="9"/>
  <c r="AI9" i="9" s="1"/>
  <c r="AJ9" i="9" s="1"/>
  <c r="AX14" i="9"/>
  <c r="AX11" i="9"/>
  <c r="AH7" i="9"/>
  <c r="V10" i="9"/>
  <c r="Z8" i="9"/>
  <c r="Z16" i="9"/>
  <c r="V13" i="9"/>
  <c r="AP9" i="9"/>
  <c r="V9" i="9"/>
  <c r="X9" i="9" s="1"/>
  <c r="AP6" i="9"/>
  <c r="V12" i="9"/>
  <c r="W12" i="9" s="1"/>
  <c r="AX15" i="9"/>
  <c r="N8" i="9"/>
  <c r="P8" i="9" s="1"/>
  <c r="R8" i="9" s="1"/>
  <c r="AX13" i="9"/>
  <c r="AH12" i="9"/>
  <c r="N16" i="9"/>
  <c r="N5" i="9"/>
  <c r="O5" i="9" s="1"/>
  <c r="N10" i="9"/>
  <c r="O10" i="9" s="1"/>
  <c r="AX7" i="9"/>
  <c r="V6" i="9"/>
  <c r="W6" i="9" s="1"/>
  <c r="N11" i="9"/>
  <c r="P12" i="9" s="1"/>
  <c r="R12" i="9" s="1"/>
  <c r="AH14" i="9"/>
  <c r="AP15" i="9"/>
  <c r="AP10" i="9"/>
  <c r="AX10" i="9"/>
  <c r="AP5" i="9"/>
  <c r="AX5" i="9"/>
  <c r="AP8" i="9"/>
  <c r="V8" i="9"/>
  <c r="V11" i="9"/>
  <c r="X11" i="9" s="1"/>
  <c r="AP11" i="9"/>
  <c r="AP16" i="9"/>
  <c r="AH16" i="9"/>
  <c r="AH13" i="9"/>
  <c r="AP13" i="9"/>
  <c r="AH6" i="9"/>
  <c r="AX6" i="9"/>
  <c r="V7" i="9"/>
  <c r="X7" i="9" s="1"/>
  <c r="AP7" i="9"/>
  <c r="Z12" i="9"/>
  <c r="AX12" i="9"/>
  <c r="AP14" i="9"/>
  <c r="AH15" i="9"/>
  <c r="Z15" i="9"/>
  <c r="AA15" i="9" s="1"/>
  <c r="AB15" i="9" s="1"/>
  <c r="L74" i="10"/>
  <c r="F20" i="9" s="1"/>
  <c r="AH28" i="9"/>
  <c r="AP22" i="9"/>
  <c r="V21" i="9"/>
  <c r="W21" i="9" s="1"/>
  <c r="Z22" i="9"/>
  <c r="AP27" i="9"/>
  <c r="V28" i="9"/>
  <c r="W28" i="9" s="1"/>
  <c r="AX27" i="9"/>
  <c r="Z27" i="9"/>
  <c r="N28" i="9"/>
  <c r="P28" i="9" s="1"/>
  <c r="R28" i="9" s="1"/>
  <c r="N21" i="9"/>
  <c r="P21" i="9" s="1"/>
  <c r="R21" i="9" s="1"/>
  <c r="AP21" i="9"/>
  <c r="N22" i="9"/>
  <c r="P22" i="9" s="1"/>
  <c r="R22" i="9" s="1"/>
  <c r="Z28" i="9"/>
  <c r="AH27" i="9"/>
  <c r="AX21" i="9"/>
  <c r="AH21" i="9"/>
  <c r="Z21" i="9"/>
  <c r="V22" i="9"/>
  <c r="W22" i="9" s="1"/>
  <c r="AH22" i="9"/>
  <c r="AX22" i="9"/>
  <c r="N27" i="9"/>
  <c r="P27" i="9" s="1"/>
  <c r="R27" i="9" s="1"/>
  <c r="V27" i="9"/>
  <c r="W27" i="9" s="1"/>
  <c r="AX28" i="9"/>
  <c r="AP28" i="9"/>
  <c r="L65" i="10"/>
  <c r="F18" i="9" s="1"/>
  <c r="V32" i="9"/>
  <c r="AX32" i="9"/>
  <c r="AY32" i="9" s="1"/>
  <c r="AH32" i="9"/>
  <c r="AI32" i="9" s="1"/>
  <c r="AI13" i="9"/>
  <c r="AJ13" i="9" s="1"/>
  <c r="I67" i="10"/>
  <c r="H17" i="9" s="1"/>
  <c r="AP25" i="9"/>
  <c r="Z25" i="9"/>
  <c r="V25" i="9"/>
  <c r="AX25" i="9"/>
  <c r="N25" i="9"/>
  <c r="AH25" i="9"/>
  <c r="AH26" i="9"/>
  <c r="V26" i="9"/>
  <c r="AP26" i="9"/>
  <c r="Z26" i="9"/>
  <c r="AA25" i="9" s="1"/>
  <c r="AB25" i="9" s="1"/>
  <c r="AX26" i="9"/>
  <c r="N26" i="9"/>
  <c r="I77" i="10"/>
  <c r="I19" i="9" s="1"/>
  <c r="Q19" i="9" s="1"/>
  <c r="I75" i="10"/>
  <c r="G19" i="9" s="1"/>
  <c r="N23" i="9"/>
  <c r="I68" i="10"/>
  <c r="I17" i="9" s="1"/>
  <c r="Q17" i="9" s="1"/>
  <c r="I76" i="10"/>
  <c r="H19" i="9" s="1"/>
  <c r="AP23" i="9"/>
  <c r="AX23" i="9"/>
  <c r="AH23" i="9"/>
  <c r="Z23" i="9"/>
  <c r="V23" i="9"/>
  <c r="AH24" i="9"/>
  <c r="AP24" i="9"/>
  <c r="Z24" i="9"/>
  <c r="AX24" i="9"/>
  <c r="N24" i="9"/>
  <c r="X5" i="9"/>
  <c r="O8" i="9"/>
  <c r="O13" i="9"/>
  <c r="O9" i="9"/>
  <c r="O7" i="9"/>
  <c r="W30" i="9"/>
  <c r="X30" i="9"/>
  <c r="P30" i="9"/>
  <c r="R30" i="9" s="1"/>
  <c r="S30" i="9" s="1"/>
  <c r="T30" i="9" s="1"/>
  <c r="O30" i="9"/>
  <c r="AB29" i="9"/>
  <c r="AC29" i="9" s="1"/>
  <c r="AZ29" i="9"/>
  <c r="BA29" i="9" s="1"/>
  <c r="P29" i="9"/>
  <c r="O29" i="9"/>
  <c r="P5" i="9"/>
  <c r="R5" i="9" s="1"/>
  <c r="P15" i="9"/>
  <c r="R15" i="9" s="1"/>
  <c r="AR29" i="9"/>
  <c r="AS29" i="9" s="1"/>
  <c r="AJ29" i="9"/>
  <c r="AK29" i="9" s="1"/>
  <c r="W31" i="9"/>
  <c r="X31" i="9"/>
  <c r="P31" i="9"/>
  <c r="R31" i="9" s="1"/>
  <c r="S31" i="9" s="1"/>
  <c r="T31" i="9" s="1"/>
  <c r="O31" i="9"/>
  <c r="AP32" i="9" l="1"/>
  <c r="AQ32" i="9" s="1"/>
  <c r="AR32" i="9" s="1"/>
  <c r="Z32" i="9"/>
  <c r="AA32" i="9" s="1"/>
  <c r="P14" i="9"/>
  <c r="R14" i="9" s="1"/>
  <c r="O11" i="9"/>
  <c r="O32" i="9"/>
  <c r="X6" i="9"/>
  <c r="W11" i="9"/>
  <c r="AY11" i="9"/>
  <c r="AZ11" i="9" s="1"/>
  <c r="AQ11" i="9"/>
  <c r="AR11" i="9" s="1"/>
  <c r="AQ9" i="9"/>
  <c r="AR9" i="9" s="1"/>
  <c r="W7" i="9"/>
  <c r="AQ7" i="9"/>
  <c r="AR7" i="9" s="1"/>
  <c r="AY7" i="9"/>
  <c r="AZ7" i="9" s="1"/>
  <c r="AI11" i="9"/>
  <c r="AJ11" i="9" s="1"/>
  <c r="AI7" i="9"/>
  <c r="AJ7" i="9" s="1"/>
  <c r="X28" i="9"/>
  <c r="AD28" i="9" s="1"/>
  <c r="AF28" i="9" s="1"/>
  <c r="R29" i="9"/>
  <c r="S29" i="9" s="1"/>
  <c r="T29" i="9" s="1"/>
  <c r="U29" i="9" s="1"/>
  <c r="V29" i="9"/>
  <c r="V14" i="9"/>
  <c r="W14" i="9" s="1"/>
  <c r="V15" i="9"/>
  <c r="AI15" i="9"/>
  <c r="AJ15" i="9" s="1"/>
  <c r="W8" i="9"/>
  <c r="X14" i="9"/>
  <c r="AD14" i="9" s="1"/>
  <c r="AY15" i="9"/>
  <c r="AZ15" i="9" s="1"/>
  <c r="AA7" i="9"/>
  <c r="AB7" i="9" s="1"/>
  <c r="O16" i="9"/>
  <c r="O15" i="9"/>
  <c r="W9" i="9"/>
  <c r="W13" i="9"/>
  <c r="W10" i="9"/>
  <c r="AQ15" i="9"/>
  <c r="AR15" i="9" s="1"/>
  <c r="AA9" i="9"/>
  <c r="AB9" i="9" s="1"/>
  <c r="X12" i="9"/>
  <c r="O6" i="9"/>
  <c r="P16" i="9"/>
  <c r="P10" i="9"/>
  <c r="R10" i="9" s="1"/>
  <c r="S9" i="9" s="1"/>
  <c r="T9" i="9" s="1"/>
  <c r="X13" i="9"/>
  <c r="AD13" i="9" s="1"/>
  <c r="P11" i="9"/>
  <c r="R11" i="9" s="1"/>
  <c r="S11" i="9" s="1"/>
  <c r="T11" i="9" s="1"/>
  <c r="O14" i="9"/>
  <c r="O28" i="9"/>
  <c r="N17" i="9"/>
  <c r="O17" i="9" s="1"/>
  <c r="AQ13" i="9"/>
  <c r="AR13" i="9" s="1"/>
  <c r="O27" i="9"/>
  <c r="X21" i="9"/>
  <c r="AD21" i="9" s="1"/>
  <c r="AY13" i="9"/>
  <c r="AZ13" i="9" s="1"/>
  <c r="X27" i="9"/>
  <c r="AD27" i="9" s="1"/>
  <c r="AF27" i="9" s="1"/>
  <c r="AL27" i="9" s="1"/>
  <c r="X22" i="9"/>
  <c r="AD22" i="9" s="1"/>
  <c r="AE22" i="9" s="1"/>
  <c r="O22" i="9"/>
  <c r="X10" i="9"/>
  <c r="AD10" i="9" s="1"/>
  <c r="AA13" i="9"/>
  <c r="AB13" i="9" s="1"/>
  <c r="AY21" i="9"/>
  <c r="AZ21" i="9" s="1"/>
  <c r="AQ27" i="9"/>
  <c r="AR27" i="9" s="1"/>
  <c r="X8" i="9"/>
  <c r="AQ5" i="9"/>
  <c r="AR5" i="9" s="1"/>
  <c r="O12" i="9"/>
  <c r="AI5" i="9"/>
  <c r="AJ5" i="9" s="1"/>
  <c r="AY9" i="9"/>
  <c r="AZ9" i="9" s="1"/>
  <c r="AA11" i="9"/>
  <c r="AB11" i="9" s="1"/>
  <c r="O21" i="9"/>
  <c r="AP17" i="9"/>
  <c r="AA5" i="9"/>
  <c r="AB5" i="9" s="1"/>
  <c r="AI27" i="9"/>
  <c r="AJ27" i="9" s="1"/>
  <c r="AA21" i="9"/>
  <c r="AB21" i="9" s="1"/>
  <c r="AA27" i="9"/>
  <c r="AB27" i="9" s="1"/>
  <c r="AQ21" i="9"/>
  <c r="AR21" i="9" s="1"/>
  <c r="AY5" i="9"/>
  <c r="AZ5" i="9" s="1"/>
  <c r="AY27" i="9"/>
  <c r="AZ27" i="9" s="1"/>
  <c r="AX17" i="9"/>
  <c r="V17" i="9"/>
  <c r="W17" i="9" s="1"/>
  <c r="AI21" i="9"/>
  <c r="AJ21" i="9" s="1"/>
  <c r="Z17" i="9"/>
  <c r="AH17" i="9"/>
  <c r="L68" i="10"/>
  <c r="I18" i="9" s="1"/>
  <c r="Q18" i="9" s="1"/>
  <c r="L75" i="10"/>
  <c r="G20" i="9" s="1"/>
  <c r="L77" i="10"/>
  <c r="I20" i="9" s="1"/>
  <c r="Q20" i="9" s="1"/>
  <c r="AS32" i="9"/>
  <c r="AB32" i="9"/>
  <c r="AC32" i="9"/>
  <c r="AK32" i="9"/>
  <c r="AJ32" i="9"/>
  <c r="BA32" i="9"/>
  <c r="AZ32" i="9"/>
  <c r="W32" i="9"/>
  <c r="X32" i="9"/>
  <c r="T32" i="9"/>
  <c r="U32" i="9"/>
  <c r="AA23" i="9"/>
  <c r="L76" i="10"/>
  <c r="H20" i="9" s="1"/>
  <c r="AI25" i="9"/>
  <c r="AJ25" i="9" s="1"/>
  <c r="AQ25" i="9"/>
  <c r="AR25" i="9" s="1"/>
  <c r="S7" i="9"/>
  <c r="T7" i="9" s="1"/>
  <c r="AE27" i="9"/>
  <c r="AY23" i="9"/>
  <c r="AZ23" i="9" s="1"/>
  <c r="X23" i="9"/>
  <c r="W23" i="9"/>
  <c r="AI23" i="9"/>
  <c r="AQ23" i="9"/>
  <c r="AR23" i="9" s="1"/>
  <c r="AX19" i="9"/>
  <c r="Z19" i="9"/>
  <c r="AH19" i="9"/>
  <c r="AP19" i="9"/>
  <c r="V19" i="9"/>
  <c r="AE21" i="9"/>
  <c r="AF21" i="9"/>
  <c r="AL21" i="9" s="1"/>
  <c r="AY25" i="9"/>
  <c r="AZ25" i="9" s="1"/>
  <c r="N19" i="9"/>
  <c r="L67" i="10"/>
  <c r="H18" i="9" s="1"/>
  <c r="S27" i="9"/>
  <c r="T27" i="9" s="1"/>
  <c r="O24" i="9"/>
  <c r="P24" i="9"/>
  <c r="P23" i="9"/>
  <c r="R23" i="9" s="1"/>
  <c r="O23" i="9"/>
  <c r="S21" i="9"/>
  <c r="T21" i="9" s="1"/>
  <c r="O26" i="9"/>
  <c r="P26" i="9"/>
  <c r="R26" i="9" s="1"/>
  <c r="W26" i="9"/>
  <c r="X26" i="9"/>
  <c r="O25" i="9"/>
  <c r="P25" i="9"/>
  <c r="R25" i="9" s="1"/>
  <c r="X25" i="9"/>
  <c r="W25" i="9"/>
  <c r="AD12" i="9"/>
  <c r="AD9" i="9"/>
  <c r="AD8" i="9"/>
  <c r="S13" i="9"/>
  <c r="T13" i="9" s="1"/>
  <c r="P17" i="9"/>
  <c r="R17" i="9" s="1"/>
  <c r="AD11" i="9"/>
  <c r="AD5" i="9"/>
  <c r="AD31" i="9"/>
  <c r="AL28" i="9"/>
  <c r="S5" i="9"/>
  <c r="AD30" i="9"/>
  <c r="AD7" i="9"/>
  <c r="AD6" i="9"/>
  <c r="X17" i="9" l="1"/>
  <c r="AD17" i="9" s="1"/>
  <c r="AF22" i="9"/>
  <c r="AL22" i="9" s="1"/>
  <c r="AN22" i="9" s="1"/>
  <c r="AT22" i="9" s="1"/>
  <c r="S25" i="9"/>
  <c r="T25" i="9" s="1"/>
  <c r="AE28" i="9"/>
  <c r="R24" i="9"/>
  <c r="S23" i="9" s="1"/>
  <c r="T23" i="9" s="1"/>
  <c r="U21" i="9" s="1"/>
  <c r="V24" i="9"/>
  <c r="X29" i="9"/>
  <c r="AD29" i="9" s="1"/>
  <c r="AE29" i="9" s="1"/>
  <c r="W29" i="9"/>
  <c r="R16" i="9"/>
  <c r="S15" i="9" s="1"/>
  <c r="T15" i="9" s="1"/>
  <c r="V16" i="9"/>
  <c r="X15" i="9"/>
  <c r="AD15" i="9" s="1"/>
  <c r="AE15" i="9" s="1"/>
  <c r="W15" i="9"/>
  <c r="V20" i="9"/>
  <c r="W20" i="9" s="1"/>
  <c r="N20" i="9"/>
  <c r="X20" i="9"/>
  <c r="AD20" i="9" s="1"/>
  <c r="AS21" i="9"/>
  <c r="BA21" i="9"/>
  <c r="AD32" i="9"/>
  <c r="AN21" i="9"/>
  <c r="AT21" i="9" s="1"/>
  <c r="AM21" i="9"/>
  <c r="AD25" i="9"/>
  <c r="AD26" i="9"/>
  <c r="AD23" i="9"/>
  <c r="Z20" i="9"/>
  <c r="AA19" i="9" s="1"/>
  <c r="AB19" i="9" s="1"/>
  <c r="AX20" i="9"/>
  <c r="AY19" i="9" s="1"/>
  <c r="AZ19" i="9" s="1"/>
  <c r="AH20" i="9"/>
  <c r="AI19" i="9" s="1"/>
  <c r="AJ19" i="9" s="1"/>
  <c r="AP20" i="9"/>
  <c r="AQ19" i="9" s="1"/>
  <c r="AR19" i="9" s="1"/>
  <c r="AM22" i="9"/>
  <c r="AB23" i="9"/>
  <c r="AC21" i="9" s="1"/>
  <c r="N18" i="9"/>
  <c r="AX18" i="9"/>
  <c r="AY17" i="9" s="1"/>
  <c r="Z18" i="9"/>
  <c r="AA17" i="9" s="1"/>
  <c r="AP18" i="9"/>
  <c r="AQ17" i="9" s="1"/>
  <c r="AH18" i="9"/>
  <c r="AI17" i="9" s="1"/>
  <c r="V18" i="9"/>
  <c r="X19" i="9"/>
  <c r="AD19" i="9" s="1"/>
  <c r="AE19" i="9" s="1"/>
  <c r="W19" i="9"/>
  <c r="AJ23" i="9"/>
  <c r="AK21" i="9" s="1"/>
  <c r="P19" i="9"/>
  <c r="R19" i="9" s="1"/>
  <c r="O19" i="9"/>
  <c r="AN27" i="9"/>
  <c r="AT27" i="9" s="1"/>
  <c r="AM27" i="9"/>
  <c r="AF6" i="9"/>
  <c r="AE6" i="9"/>
  <c r="AF14" i="9"/>
  <c r="AE14" i="9"/>
  <c r="AF30" i="9"/>
  <c r="AE30" i="9"/>
  <c r="AF8" i="9"/>
  <c r="AE8" i="9"/>
  <c r="AF12" i="9"/>
  <c r="AE12" i="9"/>
  <c r="AE10" i="9"/>
  <c r="AF10" i="9"/>
  <c r="AF7" i="9"/>
  <c r="AE7" i="9"/>
  <c r="T5" i="9"/>
  <c r="AF13" i="9"/>
  <c r="AE13" i="9"/>
  <c r="AN28" i="9"/>
  <c r="AT28" i="9" s="1"/>
  <c r="AM28" i="9"/>
  <c r="AF31" i="9"/>
  <c r="AE31" i="9"/>
  <c r="AE5" i="9"/>
  <c r="AF5" i="9"/>
  <c r="AF11" i="9"/>
  <c r="AE11" i="9"/>
  <c r="AF9" i="9"/>
  <c r="AE9" i="9"/>
  <c r="AF15" i="9"/>
  <c r="AF29" i="9" l="1"/>
  <c r="AF19" i="9"/>
  <c r="AL19" i="9" s="1"/>
  <c r="W24" i="9"/>
  <c r="X24" i="9"/>
  <c r="AD24" i="9" s="1"/>
  <c r="AE24" i="9" s="1"/>
  <c r="W16" i="9"/>
  <c r="X16" i="9"/>
  <c r="AD16" i="9" s="1"/>
  <c r="P20" i="9"/>
  <c r="R20" i="9" s="1"/>
  <c r="S19" i="9" s="1"/>
  <c r="T19" i="9" s="1"/>
  <c r="O20" i="9"/>
  <c r="AE32" i="9"/>
  <c r="AF32" i="9"/>
  <c r="AL32" i="9" s="1"/>
  <c r="AV22" i="9"/>
  <c r="AU22" i="9"/>
  <c r="AF23" i="9"/>
  <c r="AL23" i="9" s="1"/>
  <c r="AE23" i="9"/>
  <c r="AE25" i="9"/>
  <c r="AF25" i="9"/>
  <c r="AL25" i="9" s="1"/>
  <c r="AF26" i="9"/>
  <c r="AE26" i="9"/>
  <c r="AU21" i="9"/>
  <c r="AV21" i="9"/>
  <c r="AJ17" i="9"/>
  <c r="AK5" i="9" s="1"/>
  <c r="AD34" i="9" s="1"/>
  <c r="O18" i="9"/>
  <c r="P18" i="9"/>
  <c r="R18" i="9" s="1"/>
  <c r="S17" i="9" s="1"/>
  <c r="T17" i="9" s="1"/>
  <c r="AV27" i="9"/>
  <c r="AU27" i="9"/>
  <c r="W18" i="9"/>
  <c r="X18" i="9"/>
  <c r="AD18" i="9" s="1"/>
  <c r="AE18" i="9" s="1"/>
  <c r="AR17" i="9"/>
  <c r="AS5" i="9" s="1"/>
  <c r="AL34" i="9" s="1"/>
  <c r="AZ17" i="9"/>
  <c r="BA5" i="9" s="1"/>
  <c r="AT34" i="9" s="1"/>
  <c r="AB17" i="9"/>
  <c r="AC5" i="9" s="1"/>
  <c r="V34" i="9" s="1"/>
  <c r="AF17" i="9"/>
  <c r="AE17" i="9"/>
  <c r="AF18" i="9"/>
  <c r="AL11" i="9"/>
  <c r="AL31" i="9"/>
  <c r="AV28" i="9"/>
  <c r="AU28" i="9"/>
  <c r="AL13" i="9"/>
  <c r="AL29" i="9"/>
  <c r="AL7" i="9"/>
  <c r="AL10" i="9"/>
  <c r="AL15" i="9"/>
  <c r="AL9" i="9"/>
  <c r="AL5" i="9"/>
  <c r="AE20" i="9"/>
  <c r="AF20" i="9"/>
  <c r="AL12" i="9"/>
  <c r="AL8" i="9"/>
  <c r="AL30" i="9"/>
  <c r="AL14" i="9"/>
  <c r="AL6" i="9"/>
  <c r="AF24" i="9" l="1"/>
  <c r="AL24" i="9" s="1"/>
  <c r="AM24" i="9" s="1"/>
  <c r="AE16" i="9"/>
  <c r="AF16" i="9"/>
  <c r="AL16" i="9" s="1"/>
  <c r="AN16" i="9" s="1"/>
  <c r="AT16" i="9" s="1"/>
  <c r="U5" i="9"/>
  <c r="AN32" i="9"/>
  <c r="AT32" i="9" s="1"/>
  <c r="AM32" i="9"/>
  <c r="AM25" i="9"/>
  <c r="AN25" i="9"/>
  <c r="AT25" i="9" s="1"/>
  <c r="AL26" i="9"/>
  <c r="AM23" i="9"/>
  <c r="AN23" i="9"/>
  <c r="AT23" i="9" s="1"/>
  <c r="AN30" i="9"/>
  <c r="AT30" i="9" s="1"/>
  <c r="AM30" i="9"/>
  <c r="AN19" i="9"/>
  <c r="AT19" i="9" s="1"/>
  <c r="AM19" i="9"/>
  <c r="AN8" i="9"/>
  <c r="AT8" i="9" s="1"/>
  <c r="AM8" i="9"/>
  <c r="AN15" i="9"/>
  <c r="AT15" i="9" s="1"/>
  <c r="AM15" i="9"/>
  <c r="AM10" i="9"/>
  <c r="AN10" i="9"/>
  <c r="AT10" i="9" s="1"/>
  <c r="AN6" i="9"/>
  <c r="AT6" i="9" s="1"/>
  <c r="AM6" i="9"/>
  <c r="AN14" i="9"/>
  <c r="AT14" i="9" s="1"/>
  <c r="AM14" i="9"/>
  <c r="AN12" i="9"/>
  <c r="AT12" i="9" s="1"/>
  <c r="AM12" i="9"/>
  <c r="AL20" i="9"/>
  <c r="AN5" i="9"/>
  <c r="AT5" i="9" s="1"/>
  <c r="AM5" i="9"/>
  <c r="AN9" i="9"/>
  <c r="AT9" i="9" s="1"/>
  <c r="AM9" i="9"/>
  <c r="AN7" i="9"/>
  <c r="AT7" i="9" s="1"/>
  <c r="AM7" i="9"/>
  <c r="AN29" i="9"/>
  <c r="AT29" i="9" s="1"/>
  <c r="AM29" i="9"/>
  <c r="AN13" i="9"/>
  <c r="AT13" i="9" s="1"/>
  <c r="AM13" i="9"/>
  <c r="AN31" i="9"/>
  <c r="AT31" i="9" s="1"/>
  <c r="AM31" i="9"/>
  <c r="AN11" i="9"/>
  <c r="AT11" i="9" s="1"/>
  <c r="AM11" i="9"/>
  <c r="AL18" i="9"/>
  <c r="AL17" i="9"/>
  <c r="AM16" i="9" l="1"/>
  <c r="N36" i="9"/>
  <c r="N34" i="9"/>
  <c r="O36" i="9"/>
  <c r="AN24" i="9"/>
  <c r="AT24" i="9" s="1"/>
  <c r="AV24" i="9" s="1"/>
  <c r="AV32" i="9"/>
  <c r="AU32" i="9"/>
  <c r="AV23" i="9"/>
  <c r="AU23" i="9"/>
  <c r="AU25" i="9"/>
  <c r="AV25" i="9"/>
  <c r="AN26" i="9"/>
  <c r="AT26" i="9" s="1"/>
  <c r="AM26" i="9"/>
  <c r="AU31" i="9"/>
  <c r="AV31" i="9"/>
  <c r="AU7" i="9"/>
  <c r="AV7" i="9"/>
  <c r="AN17" i="9"/>
  <c r="AT17" i="9" s="1"/>
  <c r="AM17" i="9"/>
  <c r="AN18" i="9"/>
  <c r="AT18" i="9" s="1"/>
  <c r="AM18" i="9"/>
  <c r="AM20" i="9"/>
  <c r="AN20" i="9"/>
  <c r="AT20" i="9" s="1"/>
  <c r="AV10" i="9"/>
  <c r="AU10" i="9"/>
  <c r="AV11" i="9"/>
  <c r="AU11" i="9"/>
  <c r="AV13" i="9"/>
  <c r="AU13" i="9"/>
  <c r="AU29" i="9"/>
  <c r="AV29" i="9"/>
  <c r="AV9" i="9"/>
  <c r="AU9" i="9"/>
  <c r="AU5" i="9"/>
  <c r="AV5" i="9"/>
  <c r="AV12" i="9"/>
  <c r="AU12" i="9"/>
  <c r="AV14" i="9"/>
  <c r="AU14" i="9"/>
  <c r="AV6" i="9"/>
  <c r="AU6" i="9"/>
  <c r="AV16" i="9"/>
  <c r="AU16" i="9"/>
  <c r="AV15" i="9"/>
  <c r="AU15" i="9"/>
  <c r="AU8" i="9"/>
  <c r="AV8" i="9"/>
  <c r="AV19" i="9"/>
  <c r="AU19" i="9"/>
  <c r="AU30" i="9"/>
  <c r="AV30" i="9"/>
  <c r="AU24" i="9" l="1"/>
  <c r="AU26" i="9"/>
  <c r="AV26" i="9"/>
  <c r="AU20" i="9"/>
  <c r="AV20" i="9"/>
  <c r="AV18" i="9"/>
  <c r="AU18" i="9"/>
  <c r="AV17" i="9"/>
  <c r="AU17" i="9"/>
</calcChain>
</file>

<file path=xl/comments1.xml><?xml version="1.0" encoding="utf-8"?>
<comments xmlns="http://schemas.openxmlformats.org/spreadsheetml/2006/main">
  <authors>
    <author>Paulo</author>
    <author>pandre</author>
  </authors>
  <commentList>
    <comment ref="J5" authorId="0">
      <text>
        <r>
          <rPr>
            <b/>
            <sz val="9"/>
            <color indexed="81"/>
            <rFont val="Tahoma"/>
            <family val="2"/>
          </rPr>
          <t xml:space="preserve"> 
</t>
        </r>
        <r>
          <rPr>
            <sz val="9"/>
            <color indexed="81"/>
            <rFont val="Tahoma"/>
            <family val="2"/>
          </rPr>
          <t>Taxa de Sucesso = (A+B+C)/(A+B+C+D+E)</t>
        </r>
        <r>
          <rPr>
            <b/>
            <sz val="9"/>
            <color indexed="81"/>
            <rFont val="Tahoma"/>
            <family val="2"/>
          </rPr>
          <t xml:space="preserve">
</t>
        </r>
        <r>
          <rPr>
            <sz val="9"/>
            <color indexed="81"/>
            <rFont val="Tahoma"/>
            <family val="2"/>
          </rPr>
          <t>ou
Taxa de Sucesso = (níveis5 + níveis4 + níveis3)/( níveis5 + níveis4 + níveis3 + níveis2 + níveis1 )</t>
        </r>
      </text>
    </comment>
    <comment ref="K5" authorId="1">
      <text>
        <r>
          <rPr>
            <sz val="8"/>
            <color indexed="81"/>
            <rFont val="Tahoma"/>
            <family val="2"/>
          </rPr>
          <t xml:space="preserve">
Taxa de sucesso = (N.º total de alunos que a nível nacional obtiveram níveis A, B e C)/(N.º total de alunos que a nível nacional realizaram a prova)
ou
Taxa de sucesso = (N.º total de alunos que a nível nacional obtiveram níveis 5, 4 e 3)/(N.º total de alunos que a nível nacional realizaram a prova)
Universo: Alunos inscritos em escolas Públicas de Portugal Continental</t>
        </r>
      </text>
    </comment>
    <comment ref="L5" authorId="0">
      <text>
        <r>
          <rPr>
            <sz val="9"/>
            <color indexed="81"/>
            <rFont val="Tahoma"/>
            <family val="2"/>
          </rPr>
          <t xml:space="preserve">
Distância da taxa de sucesso para o valor nacional  = (Taxa de sucesso no agrup.) - (Taxa de sucesso a nível nacional)</t>
        </r>
      </text>
    </comment>
    <comment ref="M5" authorId="0">
      <text>
        <r>
          <rPr>
            <sz val="9"/>
            <color indexed="81"/>
            <rFont val="Tahoma"/>
            <family val="2"/>
          </rPr>
          <t xml:space="preserve">
Classificação média = (A x 5+B x 4+C x 3+D x 2+E x 1)/(A+B+C+D+E)
ou
Classificação média = [(n.º níveis 5) x 5+(n.º níveis 4) x 4+(n.º níveis 3) x 3+(n.º níveis 2) x 2+(n.º níveis 1) x 1] / [(n.º níveis 5)+(n.º níveis 4)+(n.º níveis 3)+(n.º níveis 2)+(n.º níveis 1)]</t>
        </r>
      </text>
    </comment>
    <comment ref="N5" authorId="1">
      <text>
        <r>
          <rPr>
            <sz val="8"/>
            <color indexed="81"/>
            <rFont val="Tahoma"/>
            <family val="2"/>
          </rPr>
          <t xml:space="preserve">
Classificação média: Calcula-se como no caso do agrupamento utilizando o n.º total de alunos que a nível nacional obtiveram cada um dos níveis (de A a E) 
ou
Classificação média: Calcula-se como no caso do agrupamento utilizando o n.º total de alunos que a nível nacional obtiveram cada um dos níveis (de 5 a 1) 
Universo: Alunos inscritos em escolas Públicas de Portugal Continental</t>
        </r>
      </text>
    </comment>
    <comment ref="O5" authorId="0">
      <text>
        <r>
          <rPr>
            <sz val="9"/>
            <color indexed="81"/>
            <rFont val="Tahoma"/>
            <family val="2"/>
          </rPr>
          <t xml:space="preserve">
Distância da classificação média para o valor nacional  = (Class. média no agrup. ) - (Class. média a nível nacional)</t>
        </r>
      </text>
    </comment>
    <comment ref="D63" authorId="1">
      <text>
        <r>
          <rPr>
            <sz val="8"/>
            <color indexed="81"/>
            <rFont val="Tahoma"/>
            <family val="2"/>
          </rPr>
          <t xml:space="preserve">
&gt;= 10 valores (95 pontos)</t>
        </r>
      </text>
    </comment>
    <comment ref="E63" authorId="1">
      <text>
        <r>
          <rPr>
            <sz val="8"/>
            <color indexed="81"/>
            <rFont val="Tahoma"/>
            <family val="2"/>
          </rPr>
          <t xml:space="preserve">
&lt; 10 valores (95 pontos)</t>
        </r>
      </text>
    </comment>
    <comment ref="G63" authorId="0">
      <text>
        <r>
          <rPr>
            <b/>
            <sz val="9"/>
            <color indexed="81"/>
            <rFont val="Tahoma"/>
            <family val="2"/>
          </rPr>
          <t xml:space="preserve"> 
</t>
        </r>
        <r>
          <rPr>
            <sz val="9"/>
            <color indexed="81"/>
            <rFont val="Tahoma"/>
            <family val="2"/>
          </rPr>
          <t>Taxa de Sucesso = (n.º de alunos com classificação positiva)/(n.º de alunos que realizaram a prova)</t>
        </r>
        <r>
          <rPr>
            <b/>
            <sz val="9"/>
            <color indexed="81"/>
            <rFont val="Tahoma"/>
            <family val="2"/>
          </rPr>
          <t xml:space="preserve">
</t>
        </r>
      </text>
    </comment>
    <comment ref="H63" authorId="1">
      <text>
        <r>
          <rPr>
            <sz val="8"/>
            <color indexed="81"/>
            <rFont val="Tahoma"/>
            <family val="2"/>
          </rPr>
          <t xml:space="preserve">
Taxa de sucesso = (N.º total de alunos que a nível nacional obtiveram classificação positiva)/(N.º total de alunos que a nível nacional realizaram a prova)</t>
        </r>
      </text>
    </comment>
    <comment ref="I63" authorId="0">
      <text>
        <r>
          <rPr>
            <sz val="9"/>
            <color indexed="81"/>
            <rFont val="Tahoma"/>
            <family val="2"/>
          </rPr>
          <t xml:space="preserve">
Distância da taxa de sucesso para o valor nacional  = (Taxa de sucesso no agrup.) - (Taxa de sucesso a nível nacional)</t>
        </r>
      </text>
    </comment>
    <comment ref="J63" authorId="0">
      <text>
        <r>
          <rPr>
            <sz val="9"/>
            <color indexed="81"/>
            <rFont val="Tahoma"/>
            <family val="2"/>
          </rPr>
          <t xml:space="preserve">
Classificação média = média(classificação alcançada por cada aluno)</t>
        </r>
      </text>
    </comment>
    <comment ref="K63" authorId="1">
      <text>
        <r>
          <rPr>
            <sz val="8"/>
            <color indexed="81"/>
            <rFont val="Tahoma"/>
            <family val="2"/>
          </rPr>
          <t xml:space="preserve">
Classificação média: Calcula-se como no caso do agrupamento utilizando o n.º total de alunos que a nível nacional realizaram a prova
</t>
        </r>
      </text>
    </comment>
    <comment ref="L63" authorId="0">
      <text>
        <r>
          <rPr>
            <sz val="9"/>
            <color indexed="81"/>
            <rFont val="Tahoma"/>
            <family val="2"/>
          </rPr>
          <t xml:space="preserve">
Distância da classificação média para o valor nacional  = (Class. média no agrup. ) - (Class. média a nível nacional)</t>
        </r>
      </text>
    </comment>
  </commentList>
</comments>
</file>

<file path=xl/comments2.xml><?xml version="1.0" encoding="utf-8"?>
<comments xmlns="http://schemas.openxmlformats.org/spreadsheetml/2006/main">
  <authors>
    <author>Paulo</author>
  </authors>
  <commentList>
    <comment ref="F4" authorId="0">
      <text>
        <r>
          <rPr>
            <sz val="9"/>
            <color indexed="81"/>
            <rFont val="Tahoma"/>
            <family val="2"/>
          </rPr>
          <t xml:space="preserve">
Taxa de insucesso escolar = (N.º total de alunos retidos) / (N.º total de alunos inscritos no 1.º ciclo do EB Regular)</t>
        </r>
      </text>
    </comment>
    <comment ref="I4" authorId="0">
      <text>
        <r>
          <rPr>
            <sz val="9"/>
            <color indexed="81"/>
            <rFont val="Tahoma"/>
            <family val="2"/>
          </rPr>
          <t xml:space="preserve">
Percentagem de alunos com class. positiva a todas as disciplinas = (N.º de alunos com classificação positiva a todas as disciplinas) / (N.º total de alunos avaliados no final do 3.º período)
</t>
        </r>
      </text>
    </comment>
  </commentList>
</comments>
</file>

<file path=xl/comments3.xml><?xml version="1.0" encoding="utf-8"?>
<comments xmlns="http://schemas.openxmlformats.org/spreadsheetml/2006/main">
  <authors>
    <author>Paulo</author>
  </authors>
  <commentList>
    <comment ref="I4" authorId="0">
      <text>
        <r>
          <rPr>
            <sz val="9"/>
            <color indexed="81"/>
            <rFont val="Tahoma"/>
            <family val="2"/>
          </rPr>
          <t xml:space="preserve">
TIPPE = IPPE / (N.º total de alunos inscritos)</t>
        </r>
      </text>
    </comment>
    <comment ref="H5" authorId="0">
      <text>
        <r>
          <rPr>
            <sz val="9"/>
            <color indexed="81"/>
            <rFont val="Tahoma"/>
            <family val="2"/>
          </rPr>
          <t xml:space="preserve">
IPPE = EF + AM + A</t>
        </r>
      </text>
    </comment>
  </commentList>
</comments>
</file>

<file path=xl/comments4.xml><?xml version="1.0" encoding="utf-8"?>
<comments xmlns="http://schemas.openxmlformats.org/spreadsheetml/2006/main">
  <authors>
    <author>Paulo</author>
  </authors>
  <commentList>
    <comment ref="G4" authorId="0">
      <text>
        <r>
          <rPr>
            <sz val="9"/>
            <color indexed="81"/>
            <rFont val="Tahoma"/>
            <family val="2"/>
          </rPr>
          <t xml:space="preserve">
MD = MC + MDS</t>
        </r>
      </text>
    </comment>
    <comment ref="H4" authorId="0">
      <text>
        <r>
          <rPr>
            <sz val="9"/>
            <color indexed="81"/>
            <rFont val="Tahoma"/>
            <family val="2"/>
          </rPr>
          <t xml:space="preserve">
MDA = MD / (N.º total de alunos Inscritos)</t>
        </r>
      </text>
    </comment>
  </commentList>
</comments>
</file>

<file path=xl/sharedStrings.xml><?xml version="1.0" encoding="utf-8"?>
<sst xmlns="http://schemas.openxmlformats.org/spreadsheetml/2006/main" count="382" uniqueCount="140">
  <si>
    <t>Domínio</t>
  </si>
  <si>
    <t>B - Distância da Classificação média para o valor nacional</t>
  </si>
  <si>
    <t>3 - Interrupção precoce do percurso escolar (risco de abandono)</t>
  </si>
  <si>
    <t>4 - Indisciplina</t>
  </si>
  <si>
    <t>A - Taxa de insucesso escolar</t>
  </si>
  <si>
    <t>B - Percentagem de alunos com classificação positiva a todas as disciplinas</t>
  </si>
  <si>
    <t>Cumprimento da submeta</t>
  </si>
  <si>
    <t>Taxa de interrupção precoce do percurso escolar (TIPPE)</t>
  </si>
  <si>
    <t>A- Distância da taxa de sucesso para o valor nacional</t>
  </si>
  <si>
    <t>Número de medidas disciplinares por aluno</t>
  </si>
  <si>
    <t>2 - Sucesso escolar na Avaliação Interna</t>
  </si>
  <si>
    <t>1 - Sucesso escolar na Avaliação Externa</t>
  </si>
  <si>
    <t>2011-12</t>
  </si>
  <si>
    <t>2012-13</t>
  </si>
  <si>
    <t>2013-14</t>
  </si>
  <si>
    <t>2014-15</t>
  </si>
  <si>
    <t>2015-16</t>
  </si>
  <si>
    <t>2016-17</t>
  </si>
  <si>
    <t>2017-18</t>
  </si>
  <si>
    <t>Secundário</t>
  </si>
  <si>
    <t>Prova1 - Port.</t>
  </si>
  <si>
    <t>Prova 2 - Mat.</t>
  </si>
  <si>
    <t>Prova 3 - Port.</t>
  </si>
  <si>
    <t>Prova 4 - Mat.</t>
  </si>
  <si>
    <t>2018-19</t>
  </si>
  <si>
    <t>Ciclo / Prova / Indicador</t>
  </si>
  <si>
    <t>Meta mínima</t>
  </si>
  <si>
    <t>Valor de Partida</t>
  </si>
  <si>
    <t>Valor de chegada previsto</t>
  </si>
  <si>
    <t>Classificação alcançada no domínio</t>
  </si>
  <si>
    <t>Valor alcançado no ano letivo:</t>
  </si>
  <si>
    <t>CLASSIFICAÇÃO FINAL ALCANÇADA:</t>
  </si>
  <si>
    <t>Sucesso alcançado (Prova / Ciclo)</t>
  </si>
  <si>
    <t>Valor de chegada alcançado</t>
  </si>
  <si>
    <t>N.º alunos que realizaram a prova / N.º de alunos inscritos</t>
  </si>
  <si>
    <t>1. º Ciclo</t>
  </si>
  <si>
    <t>2.º Ciclo</t>
  </si>
  <si>
    <t>3.º Ciclo</t>
  </si>
  <si>
    <t>1.º Ciclo</t>
  </si>
  <si>
    <t>Metas Gerais TEIP</t>
  </si>
  <si>
    <t>Plano Plurianual de Melhoria</t>
  </si>
  <si>
    <t>Domínio 1 -  Sucesso Escolar na Avaliação Externa</t>
  </si>
  <si>
    <r>
      <rPr>
        <sz val="10"/>
        <color indexed="8"/>
        <rFont val="Calibri"/>
        <family val="2"/>
      </rPr>
      <t>Prova 1:</t>
    </r>
    <r>
      <rPr>
        <sz val="10"/>
        <rFont val="Arial"/>
        <family val="2"/>
      </rPr>
      <t xml:space="preserve"> </t>
    </r>
    <r>
      <rPr>
        <b/>
        <sz val="12"/>
        <color indexed="8"/>
        <rFont val="Calibri"/>
        <family val="2"/>
      </rPr>
      <t>Língua Portuguesa - 4.º Ano</t>
    </r>
  </si>
  <si>
    <t>Histórico</t>
  </si>
  <si>
    <t>Ano letivo</t>
  </si>
  <si>
    <t>A ou 5</t>
  </si>
  <si>
    <t>B ou 4</t>
  </si>
  <si>
    <t>C ou 3</t>
  </si>
  <si>
    <t>D ou 2</t>
  </si>
  <si>
    <t>E ou 1</t>
  </si>
  <si>
    <t>No Agrupamento</t>
  </si>
  <si>
    <t>A nível Nacional</t>
  </si>
  <si>
    <t>Diferença entre o valor alcançado no Agrupamento e a nível Nacional</t>
  </si>
  <si>
    <t>2011 / 12</t>
  </si>
  <si>
    <t>2012 / 13</t>
  </si>
  <si>
    <r>
      <rPr>
        <sz val="10"/>
        <color indexed="8"/>
        <rFont val="Calibri"/>
        <family val="2"/>
      </rPr>
      <t>Prova 2:</t>
    </r>
    <r>
      <rPr>
        <sz val="10"/>
        <rFont val="Arial"/>
        <family val="2"/>
      </rPr>
      <t xml:space="preserve"> </t>
    </r>
    <r>
      <rPr>
        <b/>
        <sz val="12"/>
        <color indexed="8"/>
        <rFont val="Calibri"/>
        <family val="2"/>
      </rPr>
      <t>Matemática - 4.º Ano</t>
    </r>
  </si>
  <si>
    <r>
      <rPr>
        <sz val="10"/>
        <color indexed="8"/>
        <rFont val="Calibri"/>
        <family val="2"/>
      </rPr>
      <t>Prova 3:</t>
    </r>
    <r>
      <rPr>
        <sz val="10"/>
        <rFont val="Arial"/>
        <family val="2"/>
      </rPr>
      <t xml:space="preserve"> </t>
    </r>
    <r>
      <rPr>
        <b/>
        <sz val="12"/>
        <color indexed="8"/>
        <rFont val="Calibri"/>
        <family val="2"/>
      </rPr>
      <t>Língua Portuguesa - 6.º Ano</t>
    </r>
  </si>
  <si>
    <r>
      <t xml:space="preserve">N.º total de níveis </t>
    </r>
    <r>
      <rPr>
        <b/>
        <sz val="8"/>
        <color indexed="8"/>
        <rFont val="Calibri"/>
        <family val="2"/>
      </rPr>
      <t>(1)</t>
    </r>
  </si>
  <si>
    <r>
      <t xml:space="preserve">Classificação média </t>
    </r>
    <r>
      <rPr>
        <b/>
        <sz val="8"/>
        <color indexed="8"/>
        <rFont val="Calibri"/>
        <family val="2"/>
      </rPr>
      <t>(1)</t>
    </r>
  </si>
  <si>
    <t>(1)Considerar apenas os alunos inscritos na condição de internos e que realizaram a prova na 1.ª chamada</t>
  </si>
  <si>
    <r>
      <rPr>
        <sz val="10"/>
        <color indexed="8"/>
        <rFont val="Calibri"/>
        <family val="2"/>
      </rPr>
      <t>Prova 4:</t>
    </r>
    <r>
      <rPr>
        <sz val="10"/>
        <rFont val="Arial"/>
        <family val="2"/>
      </rPr>
      <t xml:space="preserve"> </t>
    </r>
    <r>
      <rPr>
        <b/>
        <sz val="12"/>
        <color indexed="8"/>
        <rFont val="Calibri"/>
        <family val="2"/>
      </rPr>
      <t>Matemática - 6.º Ano</t>
    </r>
  </si>
  <si>
    <r>
      <t xml:space="preserve">N.º total de </t>
    </r>
    <r>
      <rPr>
        <b/>
        <sz val="8"/>
        <color indexed="8"/>
        <rFont val="Calibri"/>
        <family val="2"/>
      </rPr>
      <t>(1)</t>
    </r>
  </si>
  <si>
    <t>Classificações positivas</t>
  </si>
  <si>
    <t>Classificações negativas</t>
  </si>
  <si>
    <t>Domínio 2 - Sucesso Escolar na Avaliação Interna</t>
  </si>
  <si>
    <t>1.º Ciclo do Ensino Básico</t>
  </si>
  <si>
    <r>
      <t xml:space="preserve">N.º total de alunos inscritos no EB Regular </t>
    </r>
    <r>
      <rPr>
        <b/>
        <sz val="8"/>
        <color indexed="8"/>
        <rFont val="Calibri"/>
        <family val="2"/>
      </rPr>
      <t>(1)</t>
    </r>
  </si>
  <si>
    <r>
      <t xml:space="preserve">N.º total de alunos retidos </t>
    </r>
    <r>
      <rPr>
        <b/>
        <sz val="8"/>
        <color indexed="8"/>
        <rFont val="Calibri"/>
        <family val="2"/>
      </rPr>
      <t>(2)</t>
    </r>
  </si>
  <si>
    <t>Taxa de insucesso escolar</t>
  </si>
  <si>
    <t>Percentagem de alunos com class. positiva a todas as disciplinas</t>
  </si>
  <si>
    <t>2.º Ciclo do Ensino Básico</t>
  </si>
  <si>
    <r>
      <t>N.º total de alunos avaliados no final do 3.º período</t>
    </r>
    <r>
      <rPr>
        <b/>
        <sz val="8"/>
        <color indexed="8"/>
        <rFont val="Calibri"/>
        <family val="2"/>
      </rPr>
      <t>(3)</t>
    </r>
  </si>
  <si>
    <r>
      <t xml:space="preserve">N.º de alunos com classificação positiva a todas as disciplinas </t>
    </r>
    <r>
      <rPr>
        <b/>
        <sz val="8"/>
        <color indexed="8"/>
        <rFont val="Calibri"/>
        <family val="2"/>
      </rPr>
      <t>(3)</t>
    </r>
  </si>
  <si>
    <t>3.º Ciclo do Ensino Básico</t>
  </si>
  <si>
    <t>Ensino Secundário - Cursos Científico-humanísticos</t>
  </si>
  <si>
    <t>Domínio 3 - Interrupção precoce do percurso escolar</t>
  </si>
  <si>
    <t>N.º total de alunos</t>
  </si>
  <si>
    <r>
      <t xml:space="preserve">Inscritos </t>
    </r>
    <r>
      <rPr>
        <b/>
        <sz val="8"/>
        <color indexed="8"/>
        <rFont val="Calibri"/>
        <family val="2"/>
      </rPr>
      <t>(1)</t>
    </r>
  </si>
  <si>
    <t>Retidos/ Excluídos por excesso de faltas (EF)</t>
  </si>
  <si>
    <t>Anulações de Matrícula (AM)</t>
  </si>
  <si>
    <t>Que abandonaram no decurso do ano (A)</t>
  </si>
  <si>
    <t>Que interromperam precocemente o percurso escolar (IPPE)</t>
  </si>
  <si>
    <t>Ensino Secundário</t>
  </si>
  <si>
    <t>(1) Excluíndo os transferidos, os cursos EFA, os CQEP e o Ensino Recorrente</t>
  </si>
  <si>
    <t>Domínio 4 - Indisciplina</t>
  </si>
  <si>
    <r>
      <t>N.º total de alunos Inscritos</t>
    </r>
    <r>
      <rPr>
        <b/>
        <sz val="8"/>
        <color indexed="8"/>
        <rFont val="Calibri"/>
        <family val="2"/>
      </rPr>
      <t xml:space="preserve"> (1)</t>
    </r>
  </si>
  <si>
    <r>
      <t xml:space="preserve">N.º total de Medidas Corretivas (MC) </t>
    </r>
    <r>
      <rPr>
        <b/>
        <sz val="8"/>
        <rFont val="Calibri"/>
        <family val="2"/>
      </rPr>
      <t>(2)</t>
    </r>
  </si>
  <si>
    <t>N.º total de Medidas Disciplinares Sancionatórias (MDS)</t>
  </si>
  <si>
    <t>N.º total Medidas Disciplinares (MD)</t>
  </si>
  <si>
    <t>Medidas disciplinares por aluno (MDA)</t>
  </si>
  <si>
    <t>(1) Excluíndo os transferidos, o pré-escolar, os cursos EFA, os CQEP e o Ensino Recorrente</t>
  </si>
  <si>
    <r>
      <t xml:space="preserve">(2) Considerar apenas as que constam da </t>
    </r>
    <r>
      <rPr>
        <b/>
        <sz val="8"/>
        <rFont val="Calibri"/>
        <family val="2"/>
      </rPr>
      <t>alínea b) e seguintes do ponto 2 do Artigo 26.º</t>
    </r>
    <r>
      <rPr>
        <sz val="8"/>
        <rFont val="Calibri"/>
        <family val="2"/>
      </rPr>
      <t xml:space="preserve"> da Lei n.º 51/2012, de 5 de setembro - </t>
    </r>
    <r>
      <rPr>
        <b/>
        <sz val="8"/>
        <rFont val="Calibri"/>
        <family val="2"/>
      </rPr>
      <t>Estatuto do Aluno e Ética Escolar</t>
    </r>
  </si>
  <si>
    <t>Português - 12.º Ano</t>
  </si>
  <si>
    <r>
      <t xml:space="preserve">Taxa de sucesso </t>
    </r>
    <r>
      <rPr>
        <b/>
        <sz val="8"/>
        <color indexed="8"/>
        <rFont val="Calibri"/>
        <family val="2"/>
      </rPr>
      <t>(1)</t>
    </r>
  </si>
  <si>
    <t>2013 / 14</t>
  </si>
  <si>
    <t>2014 / 15</t>
  </si>
  <si>
    <t>2015 / 16</t>
  </si>
  <si>
    <t>2016 / 17</t>
  </si>
  <si>
    <t>2017 / 18</t>
  </si>
  <si>
    <t>(3)
Ensino Básico: Incluir os CEF, os PIEF e os Cursos Vocacionais
Ensino Secundário: Considerar apenas os alunos inscritos para progressão/aprovação a todas as disciplinas</t>
  </si>
  <si>
    <t>(1)
Ensino Básico: Excluir os transferidos, os CEF, os PIEF e os Cursos Vocacionais
Ensino Secundário: Considerar apenas os alunos inscritos em Cursos Científico-Humanísticos</t>
  </si>
  <si>
    <t>(2)
Excluir as retenções por excesso de faltas</t>
  </si>
  <si>
    <t>(1)Considerar apenas os alunos inscritos na condição de internos e que realizaram a prova para aprovação na 1.ª chamada</t>
  </si>
  <si>
    <t>id</t>
  </si>
  <si>
    <t>Matemática A</t>
  </si>
  <si>
    <t>História A</t>
  </si>
  <si>
    <t>disciplina</t>
  </si>
  <si>
    <t>Desenho A</t>
  </si>
  <si>
    <t>2018 / 19</t>
  </si>
  <si>
    <t>N.º total de alunos que realizaram a prova</t>
  </si>
  <si>
    <r>
      <t xml:space="preserve">N.º total de alunos que realizaram a prova </t>
    </r>
    <r>
      <rPr>
        <b/>
        <sz val="8"/>
        <color indexed="8"/>
        <rFont val="Calibri"/>
        <family val="2"/>
      </rPr>
      <t>(1)</t>
    </r>
  </si>
  <si>
    <t>Agrupamento de Escolas de Souselo</t>
  </si>
  <si>
    <t/>
  </si>
  <si>
    <t>Nome do Agrupamento/Escola não Agrupada:</t>
  </si>
  <si>
    <t xml:space="preserve"> </t>
  </si>
  <si>
    <t>Índice</t>
  </si>
  <si>
    <t>METAS GERAIS TEIP</t>
  </si>
  <si>
    <t>Domínio 1</t>
  </si>
  <si>
    <t>Domínio 2</t>
  </si>
  <si>
    <t>Domínio 3</t>
  </si>
  <si>
    <t>Domínio 4</t>
  </si>
  <si>
    <t>Este instrumento foi criado com o objetivo de apoiar as UO TEIP no planeamento da sua ação estratégica, nomaeadamente  na projeção, monitorização e avaliação da evolução dos resultados alcançados nos diversos indicadores fixados no âmbito do Programa TEIP até ao ano letivo 2018/19.</t>
  </si>
  <si>
    <t>Para cada indicador os valores de histórico são os referentes aos anos letivos 2011/12 a 2013/14 mais os alcançados nos anos subsequentes até ao ano n-1, sendo n o ano letivo relativamente ao qual se pretende analisar os valores projetados ou alcançados.</t>
  </si>
  <si>
    <t>Nota 1: Os valores já inseridos são passíveis de serem alterados / corrigidos.</t>
  </si>
  <si>
    <r>
      <rPr>
        <b/>
        <sz val="9"/>
        <color indexed="8"/>
        <rFont val="Calibri"/>
        <family val="2"/>
      </rPr>
      <t>Como funciona?</t>
    </r>
    <r>
      <rPr>
        <sz val="9"/>
        <color indexed="8"/>
        <rFont val="Calibri"/>
        <family val="2"/>
      </rPr>
      <t xml:space="preserve">
Após inserção dos dados referentes aos diversos indicadores nos respetivos quadros, designadamente "Domínio 1", "Domínio 2", "Domínio 3" e "Domínio 4", para cada ano letivo, é possível consultar no quadro "Metas gerais TEIP" os valores de partida, os valores de chegada previstos e alcançados, o grau de cumprimento de cada submeta, o sucesso alcançado (em cada prova/ciclo), a classificação alcançada em cada domínio, bem como a classificação final obtida em cada ano letivo.</t>
    </r>
  </si>
  <si>
    <t>Início</t>
  </si>
  <si>
    <t>Código</t>
  </si>
  <si>
    <r>
      <rPr>
        <b/>
        <u/>
        <sz val="9"/>
        <color indexed="8"/>
        <rFont val="Calibri"/>
        <family val="2"/>
      </rPr>
      <t>Fontes:</t>
    </r>
    <r>
      <rPr>
        <sz val="9"/>
        <color indexed="8"/>
        <rFont val="Calibri"/>
        <family val="2"/>
      </rPr>
      <t xml:space="preserve">
Os valores pré inseridos foram recolhidos a partir das seguintes fontes:
Domínio 1 - Bases de dados do Júri Nacional de Exames;
Domínio 2 - Os valores referentes ao indicador A são os que constam da MISI, os valores do indicador B são os que constam dos relatórios finais TEIP respeitantes aos anos letivos 2011/12 a 2014/15;
Domínio 3 - Os valores referentes ao indicador são os que constam da MISI;
Domínio 4 - Os valores referentes ao indicador são os que constam dos relatórios finais TEIP respeitantes aos anos letivos 2011/12 a 2014/15, questão 4 - Indisciplina.</t>
    </r>
  </si>
  <si>
    <t>Peso relativo de cada domínio:</t>
  </si>
  <si>
    <t>D1</t>
  </si>
  <si>
    <t>D2</t>
  </si>
  <si>
    <t>D3</t>
  </si>
  <si>
    <t>D4</t>
  </si>
  <si>
    <t>Prova 1 - Port.</t>
  </si>
  <si>
    <r>
      <rPr>
        <sz val="10"/>
        <color indexed="8"/>
        <rFont val="Calibri"/>
        <family val="2"/>
      </rPr>
      <t>Prova 1:</t>
    </r>
    <r>
      <rPr>
        <sz val="10"/>
        <rFont val="Arial"/>
        <family val="2"/>
      </rPr>
      <t xml:space="preserve"> </t>
    </r>
    <r>
      <rPr>
        <b/>
        <sz val="12"/>
        <color indexed="8"/>
        <rFont val="Calibri"/>
        <family val="2"/>
      </rPr>
      <t>Língua Portuguesa - 9.º Ano</t>
    </r>
  </si>
  <si>
    <r>
      <rPr>
        <sz val="10"/>
        <color indexed="8"/>
        <rFont val="Calibri"/>
        <family val="2"/>
      </rPr>
      <t>Prova 2:</t>
    </r>
    <r>
      <rPr>
        <sz val="10"/>
        <rFont val="Arial"/>
        <family val="2"/>
      </rPr>
      <t xml:space="preserve"> </t>
    </r>
    <r>
      <rPr>
        <b/>
        <sz val="12"/>
        <color indexed="8"/>
        <rFont val="Calibri"/>
        <family val="2"/>
      </rPr>
      <t>Matemática - 9.º Ano</t>
    </r>
  </si>
  <si>
    <r>
      <rPr>
        <sz val="10"/>
        <color indexed="8"/>
        <rFont val="Calibri"/>
        <family val="2"/>
      </rPr>
      <t>Prova 3:</t>
    </r>
    <r>
      <rPr>
        <sz val="10"/>
        <rFont val="Arial"/>
        <family val="2"/>
      </rPr>
      <t/>
    </r>
  </si>
  <si>
    <r>
      <rPr>
        <sz val="10"/>
        <color indexed="8"/>
        <rFont val="Calibri"/>
        <family val="2"/>
      </rPr>
      <t>Prova 4:</t>
    </r>
    <r>
      <rPr>
        <sz val="10"/>
        <rFont val="Arial"/>
        <family val="2"/>
      </rPr>
      <t/>
    </r>
  </si>
  <si>
    <t>Fórmula antiga</t>
  </si>
  <si>
    <t>Fórmula nova</t>
  </si>
</sst>
</file>

<file path=xl/styles.xml><?xml version="1.0" encoding="utf-8"?>
<styleSheet xmlns="http://schemas.openxmlformats.org/spreadsheetml/2006/main" xmlns:mc="http://schemas.openxmlformats.org/markup-compatibility/2006" xmlns:x14ac="http://schemas.microsoft.com/office/spreadsheetml/2009/9/ac" mc:Ignorable="x14ac">
  <fonts count="66" x14ac:knownFonts="1">
    <font>
      <sz val="10"/>
      <name val="Arial"/>
      <family val="2"/>
    </font>
    <font>
      <sz val="11"/>
      <color theme="1"/>
      <name val="Calibri"/>
      <family val="2"/>
      <scheme val="minor"/>
    </font>
    <font>
      <sz val="11"/>
      <color theme="1"/>
      <name val="Calibri"/>
      <family val="2"/>
      <scheme val="minor"/>
    </font>
    <font>
      <u/>
      <sz val="11"/>
      <color indexed="12"/>
      <name val="Calibri"/>
      <family val="2"/>
    </font>
    <font>
      <u/>
      <sz val="10"/>
      <color indexed="12"/>
      <name val="Arial"/>
      <family val="2"/>
    </font>
    <font>
      <sz val="11"/>
      <color indexed="8"/>
      <name val="Calibri"/>
      <family val="2"/>
    </font>
    <font>
      <sz val="8"/>
      <name val="Arial"/>
      <family val="2"/>
    </font>
    <font>
      <sz val="10"/>
      <name val="Arial"/>
      <family val="2"/>
    </font>
    <font>
      <b/>
      <sz val="10"/>
      <name val="Arial"/>
      <family val="2"/>
    </font>
    <font>
      <sz val="22"/>
      <name val="Arial"/>
      <family val="2"/>
    </font>
    <font>
      <sz val="10"/>
      <color indexed="8"/>
      <name val="Calibri"/>
      <family val="2"/>
    </font>
    <font>
      <b/>
      <sz val="12"/>
      <color indexed="8"/>
      <name val="Calibri"/>
      <family val="2"/>
    </font>
    <font>
      <b/>
      <sz val="8"/>
      <color indexed="8"/>
      <name val="Calibri"/>
      <family val="2"/>
    </font>
    <font>
      <b/>
      <sz val="8"/>
      <name val="Calibri"/>
      <family val="2"/>
    </font>
    <font>
      <sz val="8"/>
      <name val="Calibri"/>
      <family val="2"/>
    </font>
    <font>
      <sz val="8"/>
      <color indexed="81"/>
      <name val="Tahoma"/>
      <family val="2"/>
    </font>
    <font>
      <b/>
      <sz val="9"/>
      <color indexed="81"/>
      <name val="Tahoma"/>
      <family val="2"/>
    </font>
    <font>
      <sz val="9"/>
      <color indexed="81"/>
      <name val="Tahoma"/>
      <family val="2"/>
    </font>
    <font>
      <sz val="8"/>
      <color indexed="8"/>
      <name val="Calibri"/>
      <family val="2"/>
    </font>
    <font>
      <sz val="10"/>
      <color indexed="8"/>
      <name val="Arial"/>
      <family val="2"/>
    </font>
    <font>
      <sz val="12"/>
      <name val="Arial"/>
      <family val="2"/>
    </font>
    <font>
      <b/>
      <sz val="12"/>
      <name val="Calibri"/>
      <family val="2"/>
    </font>
    <font>
      <b/>
      <sz val="11"/>
      <name val="Calibri"/>
      <family val="2"/>
    </font>
    <font>
      <sz val="9"/>
      <name val="Arial"/>
      <family val="2"/>
    </font>
    <font>
      <sz val="10"/>
      <name val="Calibri"/>
      <family val="2"/>
    </font>
    <font>
      <b/>
      <sz val="8"/>
      <name val="Arial"/>
      <family val="2"/>
    </font>
    <font>
      <b/>
      <sz val="10"/>
      <color indexed="12"/>
      <name val="Arial"/>
      <family val="2"/>
    </font>
    <font>
      <b/>
      <sz val="9"/>
      <color indexed="12"/>
      <name val="Arial"/>
      <family val="2"/>
    </font>
    <font>
      <sz val="9"/>
      <color indexed="8"/>
      <name val="Calibri"/>
      <family val="2"/>
    </font>
    <font>
      <b/>
      <sz val="9"/>
      <color indexed="8"/>
      <name val="Calibri"/>
      <family val="2"/>
    </font>
    <font>
      <b/>
      <u/>
      <sz val="9"/>
      <color indexed="8"/>
      <name val="Calibri"/>
      <family val="2"/>
    </font>
    <font>
      <sz val="11"/>
      <color theme="1"/>
      <name val="Calibri"/>
      <family val="2"/>
      <scheme val="minor"/>
    </font>
    <font>
      <sz val="10"/>
      <color theme="3"/>
      <name val="Arial"/>
      <family val="2"/>
    </font>
    <font>
      <sz val="10"/>
      <color theme="0"/>
      <name val="Arial"/>
      <family val="2"/>
    </font>
    <font>
      <sz val="8"/>
      <color theme="1"/>
      <name val="Calibri"/>
      <family val="2"/>
      <scheme val="minor"/>
    </font>
    <font>
      <sz val="9"/>
      <color theme="1"/>
      <name val="Calibri"/>
      <family val="2"/>
      <scheme val="minor"/>
    </font>
    <font>
      <sz val="9"/>
      <name val="Calibri"/>
      <family val="2"/>
      <scheme val="minor"/>
    </font>
    <font>
      <sz val="7"/>
      <color theme="1"/>
      <name val="Calibri"/>
      <family val="2"/>
      <scheme val="minor"/>
    </font>
    <font>
      <b/>
      <sz val="12"/>
      <color theme="1"/>
      <name val="Calibri"/>
      <family val="2"/>
      <scheme val="minor"/>
    </font>
    <font>
      <sz val="8"/>
      <name val="Calibri"/>
      <family val="2"/>
      <scheme val="minor"/>
    </font>
    <font>
      <b/>
      <sz val="11"/>
      <color rgb="FFFF0000"/>
      <name val="Calibri"/>
      <family val="2"/>
      <scheme val="minor"/>
    </font>
    <font>
      <b/>
      <sz val="8"/>
      <color theme="1"/>
      <name val="Calibri"/>
      <family val="2"/>
      <scheme val="minor"/>
    </font>
    <font>
      <b/>
      <sz val="11"/>
      <color theme="4" tint="-0.249977111117893"/>
      <name val="Arial"/>
      <family val="2"/>
    </font>
    <font>
      <b/>
      <sz val="11"/>
      <color theme="4" tint="-0.249977111117893"/>
      <name val="Calibri"/>
      <family val="2"/>
      <scheme val="minor"/>
    </font>
    <font>
      <b/>
      <sz val="12"/>
      <color theme="4" tint="-0.249977111117893"/>
      <name val="Calibri"/>
      <family val="2"/>
    </font>
    <font>
      <b/>
      <sz val="16"/>
      <color theme="0"/>
      <name val="Calibri"/>
      <family val="2"/>
    </font>
    <font>
      <sz val="16"/>
      <color theme="0"/>
      <name val="Arial"/>
      <family val="2"/>
    </font>
    <font>
      <b/>
      <sz val="12"/>
      <name val="Calibri"/>
      <family val="2"/>
      <scheme val="minor"/>
    </font>
    <font>
      <b/>
      <sz val="16"/>
      <color theme="0"/>
      <name val="Calibri"/>
      <family val="2"/>
      <scheme val="minor"/>
    </font>
    <font>
      <sz val="16"/>
      <color theme="0"/>
      <name val="Calibri"/>
      <family val="2"/>
      <scheme val="minor"/>
    </font>
    <font>
      <b/>
      <sz val="8"/>
      <name val="Calibri"/>
      <family val="2"/>
      <scheme val="minor"/>
    </font>
    <font>
      <b/>
      <sz val="11"/>
      <name val="Calibri"/>
      <family val="2"/>
      <scheme val="minor"/>
    </font>
    <font>
      <sz val="11"/>
      <name val="Calibri"/>
      <family val="2"/>
      <scheme val="minor"/>
    </font>
    <font>
      <b/>
      <sz val="22"/>
      <color theme="3"/>
      <name val="Arial"/>
      <family val="2"/>
    </font>
    <font>
      <b/>
      <sz val="18"/>
      <color theme="0"/>
      <name val="Arial"/>
      <family val="2"/>
    </font>
    <font>
      <b/>
      <sz val="12"/>
      <color theme="0"/>
      <name val="Arial"/>
      <family val="2"/>
    </font>
    <font>
      <sz val="12"/>
      <color theme="0"/>
      <name val="Arial"/>
      <family val="2"/>
    </font>
    <font>
      <b/>
      <sz val="12"/>
      <color theme="3"/>
      <name val="Arial"/>
      <family val="2"/>
    </font>
    <font>
      <sz val="12"/>
      <color theme="3"/>
      <name val="Arial"/>
      <family val="2"/>
    </font>
    <font>
      <b/>
      <sz val="12"/>
      <color rgb="FFC00000"/>
      <name val="Arial"/>
      <family val="2"/>
    </font>
    <font>
      <sz val="12"/>
      <color rgb="FFC00000"/>
      <name val="Arial"/>
      <family val="2"/>
    </font>
    <font>
      <sz val="18"/>
      <color theme="1"/>
      <name val="Calibri"/>
      <family val="2"/>
      <scheme val="minor"/>
    </font>
    <font>
      <b/>
      <sz val="18"/>
      <color theme="0" tint="-0.34998626667073579"/>
      <name val="Calibri"/>
      <family val="2"/>
      <scheme val="minor"/>
    </font>
    <font>
      <b/>
      <sz val="11"/>
      <color theme="1"/>
      <name val="Calibri"/>
      <family val="2"/>
      <scheme val="minor"/>
    </font>
    <font>
      <b/>
      <sz val="12"/>
      <color theme="1"/>
      <name val="Calibri"/>
      <family val="2"/>
    </font>
    <font>
      <sz val="10"/>
      <color theme="1"/>
      <name val="Calibri"/>
      <family val="2"/>
    </font>
  </fonts>
  <fills count="21">
    <fill>
      <patternFill patternType="none"/>
    </fill>
    <fill>
      <patternFill patternType="gray125"/>
    </fill>
    <fill>
      <patternFill patternType="solid">
        <fgColor indexed="22"/>
        <bgColor indexed="0"/>
      </patternFill>
    </fill>
    <fill>
      <patternFill patternType="solid">
        <fgColor theme="4"/>
        <bgColor indexed="64"/>
      </patternFill>
    </fill>
    <fill>
      <patternFill patternType="solid">
        <fgColor theme="0"/>
        <bgColor indexed="64"/>
      </patternFill>
    </fill>
    <fill>
      <patternFill patternType="solid">
        <fgColor rgb="FFDBE5F1"/>
        <bgColor indexed="64"/>
      </patternFill>
    </fill>
    <fill>
      <patternFill patternType="solid">
        <fgColor theme="6" tint="0.79998168889431442"/>
        <bgColor indexed="64"/>
      </patternFill>
    </fill>
    <fill>
      <patternFill patternType="solid">
        <fgColor rgb="FFFDDFC7"/>
        <bgColor indexed="64"/>
      </patternFill>
    </fill>
    <fill>
      <patternFill patternType="solid">
        <fgColor rgb="FFF3E1E3"/>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rgb="FF82A5D0"/>
        <bgColor indexed="64"/>
      </patternFill>
    </fill>
    <fill>
      <patternFill patternType="solid">
        <fgColor theme="6"/>
        <bgColor indexed="64"/>
      </patternFill>
    </fill>
    <fill>
      <patternFill patternType="solid">
        <fgColor rgb="FFBBD18F"/>
        <bgColor indexed="64"/>
      </patternFill>
    </fill>
    <fill>
      <patternFill patternType="solid">
        <fgColor rgb="FFD96709"/>
        <bgColor indexed="64"/>
      </patternFill>
    </fill>
    <fill>
      <patternFill patternType="solid">
        <fgColor rgb="FFF79B4F"/>
        <bgColor indexed="64"/>
      </patternFill>
    </fill>
    <fill>
      <patternFill patternType="solid">
        <fgColor rgb="FFD39399"/>
        <bgColor indexed="64"/>
      </patternFill>
    </fill>
    <fill>
      <patternFill patternType="solid">
        <fgColor rgb="FFE4BEC2"/>
        <bgColor indexed="64"/>
      </patternFill>
    </fill>
    <fill>
      <patternFill patternType="solid">
        <fgColor theme="4" tint="0.79998168889431442"/>
        <bgColor indexed="64"/>
      </patternFill>
    </fill>
  </fills>
  <borders count="2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double">
        <color theme="3"/>
      </bottom>
      <diagonal/>
    </border>
  </borders>
  <cellStyleXfs count="24">
    <xf numFmtId="0" fontId="0" fillId="0" borderId="0"/>
    <xf numFmtId="0" fontId="4"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alignment vertical="top"/>
      <protection locked="0"/>
    </xf>
    <xf numFmtId="0" fontId="31"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31" fillId="0" borderId="0"/>
    <xf numFmtId="0" fontId="31" fillId="0" borderId="0"/>
    <xf numFmtId="0" fontId="19" fillId="0" borderId="0"/>
    <xf numFmtId="0" fontId="2" fillId="0" borderId="0"/>
    <xf numFmtId="0" fontId="1" fillId="0" borderId="0"/>
  </cellStyleXfs>
  <cellXfs count="311">
    <xf numFmtId="0" fontId="0" fillId="0" borderId="0" xfId="0"/>
    <xf numFmtId="0" fontId="0" fillId="0" borderId="0" xfId="0" applyAlignment="1">
      <alignment wrapText="1"/>
    </xf>
    <xf numFmtId="0" fontId="0" fillId="0" borderId="0" xfId="0" applyAlignment="1">
      <alignment horizontal="center" vertical="center" wrapText="1"/>
    </xf>
    <xf numFmtId="0" fontId="8" fillId="0" borderId="0" xfId="0" applyFont="1" applyFill="1" applyBorder="1" applyAlignment="1">
      <alignment horizontal="left" wrapText="1"/>
    </xf>
    <xf numFmtId="0" fontId="8" fillId="0" borderId="0" xfId="0" applyFont="1" applyAlignment="1">
      <alignment horizontal="left" wrapText="1"/>
    </xf>
    <xf numFmtId="0" fontId="0" fillId="0" borderId="0" xfId="0" applyAlignment="1">
      <alignment vertical="center" wrapText="1"/>
    </xf>
    <xf numFmtId="0" fontId="0" fillId="0" borderId="0" xfId="0" applyAlignment="1">
      <alignment vertical="center"/>
    </xf>
    <xf numFmtId="0" fontId="0" fillId="0" borderId="0" xfId="0" applyBorder="1" applyAlignment="1">
      <alignment vertical="center" wrapText="1"/>
    </xf>
    <xf numFmtId="0" fontId="8" fillId="0" borderId="0" xfId="0" applyFont="1"/>
    <xf numFmtId="1" fontId="0" fillId="0" borderId="0" xfId="0" applyNumberFormat="1" applyAlignment="1">
      <alignment vertical="center"/>
    </xf>
    <xf numFmtId="1" fontId="8" fillId="0" borderId="0" xfId="0" applyNumberFormat="1" applyFont="1" applyAlignment="1">
      <alignment horizontal="left" wrapText="1"/>
    </xf>
    <xf numFmtId="1" fontId="0" fillId="0" borderId="0" xfId="0" applyNumberFormat="1"/>
    <xf numFmtId="0" fontId="32" fillId="0" borderId="0" xfId="0" applyFont="1" applyAlignment="1">
      <alignment vertical="center"/>
    </xf>
    <xf numFmtId="0" fontId="33" fillId="3" borderId="24" xfId="0" applyFont="1" applyFill="1" applyBorder="1" applyAlignment="1">
      <alignment horizontal="center" vertical="center" wrapText="1"/>
    </xf>
    <xf numFmtId="0" fontId="33" fillId="3" borderId="24" xfId="0" quotePrefix="1" applyFont="1" applyFill="1" applyBorder="1" applyAlignment="1">
      <alignment horizontal="center" vertical="center" wrapText="1"/>
    </xf>
    <xf numFmtId="1" fontId="33" fillId="3" borderId="24" xfId="0" applyNumberFormat="1" applyFont="1" applyFill="1" applyBorder="1" applyAlignment="1">
      <alignment horizontal="center" vertical="center" wrapText="1"/>
    </xf>
    <xf numFmtId="0" fontId="31" fillId="4" borderId="0" xfId="19" applyFill="1" applyAlignment="1" applyProtection="1">
      <alignment vertical="center"/>
      <protection hidden="1"/>
    </xf>
    <xf numFmtId="0" fontId="31" fillId="4" borderId="0" xfId="19" applyFill="1" applyProtection="1">
      <protection hidden="1"/>
    </xf>
    <xf numFmtId="0" fontId="34" fillId="5" borderId="1" xfId="19" applyFont="1" applyFill="1" applyBorder="1" applyAlignment="1" applyProtection="1">
      <alignment horizontal="center" vertical="center" wrapText="1"/>
      <protection hidden="1"/>
    </xf>
    <xf numFmtId="0" fontId="34" fillId="5" borderId="2" xfId="19" applyFont="1" applyFill="1" applyBorder="1" applyAlignment="1" applyProtection="1">
      <alignment horizontal="center" vertical="center" wrapText="1"/>
      <protection hidden="1"/>
    </xf>
    <xf numFmtId="0" fontId="31" fillId="4" borderId="0" xfId="19" applyFill="1" applyAlignment="1" applyProtection="1">
      <alignment horizontal="center" vertical="center" wrapText="1"/>
      <protection hidden="1"/>
    </xf>
    <xf numFmtId="10" fontId="35" fillId="5" borderId="3" xfId="19" applyNumberFormat="1" applyFont="1" applyFill="1" applyBorder="1" applyAlignment="1" applyProtection="1">
      <alignment horizontal="center" vertical="center"/>
      <protection hidden="1"/>
    </xf>
    <xf numFmtId="10" fontId="36" fillId="5" borderId="4" xfId="19" applyNumberFormat="1" applyFont="1" applyFill="1" applyBorder="1" applyAlignment="1" applyProtection="1">
      <alignment horizontal="center" vertical="center"/>
      <protection hidden="1"/>
    </xf>
    <xf numFmtId="10" fontId="35" fillId="5" borderId="5" xfId="19" applyNumberFormat="1" applyFont="1" applyFill="1" applyBorder="1" applyAlignment="1" applyProtection="1">
      <alignment horizontal="center" vertical="center"/>
      <protection hidden="1"/>
    </xf>
    <xf numFmtId="2" fontId="36" fillId="5" borderId="4" xfId="19" applyNumberFormat="1" applyFont="1" applyFill="1" applyBorder="1" applyAlignment="1" applyProtection="1">
      <alignment horizontal="center" vertical="center"/>
      <protection hidden="1"/>
    </xf>
    <xf numFmtId="2" fontId="35" fillId="5" borderId="5" xfId="19" applyNumberFormat="1" applyFont="1" applyFill="1" applyBorder="1" applyAlignment="1" applyProtection="1">
      <alignment horizontal="center" vertical="center"/>
      <protection hidden="1"/>
    </xf>
    <xf numFmtId="0" fontId="34" fillId="5" borderId="4" xfId="19" applyFont="1" applyFill="1" applyBorder="1" applyAlignment="1" applyProtection="1">
      <alignment horizontal="center" vertical="center" wrapText="1"/>
      <protection hidden="1"/>
    </xf>
    <xf numFmtId="10" fontId="35" fillId="5" borderId="4" xfId="19" applyNumberFormat="1" applyFont="1" applyFill="1" applyBorder="1" applyAlignment="1" applyProtection="1">
      <alignment horizontal="center" vertical="center"/>
      <protection hidden="1"/>
    </xf>
    <xf numFmtId="10" fontId="35" fillId="5" borderId="6" xfId="19" applyNumberFormat="1" applyFont="1" applyFill="1" applyBorder="1" applyAlignment="1" applyProtection="1">
      <alignment horizontal="center" vertical="center"/>
      <protection hidden="1"/>
    </xf>
    <xf numFmtId="2" fontId="35" fillId="5" borderId="6" xfId="19" applyNumberFormat="1" applyFont="1" applyFill="1" applyBorder="1" applyAlignment="1" applyProtection="1">
      <alignment horizontal="center" vertical="center"/>
      <protection hidden="1"/>
    </xf>
    <xf numFmtId="0" fontId="34" fillId="5" borderId="7" xfId="19" applyFont="1" applyFill="1" applyBorder="1" applyAlignment="1" applyProtection="1">
      <alignment horizontal="center" vertical="center" wrapText="1"/>
      <protection hidden="1"/>
    </xf>
    <xf numFmtId="10" fontId="35" fillId="5" borderId="7" xfId="19" applyNumberFormat="1" applyFont="1" applyFill="1" applyBorder="1" applyAlignment="1" applyProtection="1">
      <alignment horizontal="center" vertical="center"/>
      <protection hidden="1"/>
    </xf>
    <xf numFmtId="10" fontId="35" fillId="5" borderId="8" xfId="19" applyNumberFormat="1" applyFont="1" applyFill="1" applyBorder="1" applyAlignment="1" applyProtection="1">
      <alignment horizontal="center" vertical="center"/>
      <protection hidden="1"/>
    </xf>
    <xf numFmtId="2" fontId="35" fillId="5" borderId="7" xfId="19" applyNumberFormat="1" applyFont="1" applyFill="1" applyBorder="1" applyAlignment="1" applyProtection="1">
      <alignment horizontal="center" vertical="center"/>
      <protection hidden="1"/>
    </xf>
    <xf numFmtId="2" fontId="35" fillId="5" borderId="8" xfId="19" applyNumberFormat="1" applyFont="1" applyFill="1" applyBorder="1" applyAlignment="1" applyProtection="1">
      <alignment horizontal="center" vertical="center"/>
      <protection hidden="1"/>
    </xf>
    <xf numFmtId="0" fontId="34" fillId="5" borderId="9" xfId="19" applyFont="1" applyFill="1" applyBorder="1" applyAlignment="1" applyProtection="1">
      <alignment horizontal="center" vertical="center" wrapText="1"/>
      <protection hidden="1"/>
    </xf>
    <xf numFmtId="0" fontId="35" fillId="5" borderId="9" xfId="19" applyFont="1" applyFill="1" applyBorder="1" applyAlignment="1" applyProtection="1">
      <alignment horizontal="center" vertical="center"/>
      <protection hidden="1"/>
    </xf>
    <xf numFmtId="10" fontId="35" fillId="5" borderId="9" xfId="19" applyNumberFormat="1" applyFont="1" applyFill="1" applyBorder="1" applyAlignment="1" applyProtection="1">
      <alignment horizontal="center" vertical="center"/>
      <protection hidden="1"/>
    </xf>
    <xf numFmtId="10" fontId="36" fillId="5" borderId="9" xfId="19" applyNumberFormat="1" applyFont="1" applyFill="1" applyBorder="1" applyAlignment="1" applyProtection="1">
      <alignment horizontal="center" vertical="center"/>
      <protection hidden="1"/>
    </xf>
    <xf numFmtId="2" fontId="35" fillId="5" borderId="9" xfId="19" applyNumberFormat="1" applyFont="1" applyFill="1" applyBorder="1" applyAlignment="1" applyProtection="1">
      <alignment horizontal="center" vertical="center"/>
      <protection hidden="1"/>
    </xf>
    <xf numFmtId="2" fontId="36" fillId="5" borderId="9" xfId="19" applyNumberFormat="1" applyFont="1" applyFill="1" applyBorder="1" applyAlignment="1" applyProtection="1">
      <alignment horizontal="center" vertical="center"/>
      <protection hidden="1"/>
    </xf>
    <xf numFmtId="0" fontId="31" fillId="4" borderId="0" xfId="19" applyFill="1" applyBorder="1" applyAlignment="1" applyProtection="1">
      <alignment vertical="center"/>
      <protection hidden="1"/>
    </xf>
    <xf numFmtId="0" fontId="37" fillId="5" borderId="9" xfId="19" applyFont="1" applyFill="1" applyBorder="1" applyAlignment="1" applyProtection="1">
      <alignment horizontal="left" vertical="center"/>
      <protection hidden="1"/>
    </xf>
    <xf numFmtId="0" fontId="34" fillId="6" borderId="10" xfId="19" applyFont="1" applyFill="1" applyBorder="1" applyAlignment="1" applyProtection="1">
      <alignment horizontal="center" vertical="center" wrapText="1"/>
      <protection hidden="1"/>
    </xf>
    <xf numFmtId="10" fontId="35" fillId="6" borderId="3" xfId="19" applyNumberFormat="1" applyFont="1" applyFill="1" applyBorder="1" applyAlignment="1" applyProtection="1">
      <alignment horizontal="center" vertical="center" wrapText="1"/>
      <protection hidden="1"/>
    </xf>
    <xf numFmtId="10" fontId="35" fillId="6" borderId="4" xfId="19" applyNumberFormat="1" applyFont="1" applyFill="1" applyBorder="1" applyAlignment="1" applyProtection="1">
      <alignment horizontal="center" vertical="center" wrapText="1"/>
      <protection hidden="1"/>
    </xf>
    <xf numFmtId="10" fontId="35" fillId="6" borderId="7" xfId="19" applyNumberFormat="1" applyFont="1" applyFill="1" applyBorder="1" applyAlignment="1" applyProtection="1">
      <alignment horizontal="center" vertical="center" wrapText="1"/>
      <protection hidden="1"/>
    </xf>
    <xf numFmtId="0" fontId="35" fillId="7" borderId="3" xfId="19" applyFont="1" applyFill="1" applyBorder="1" applyAlignment="1" applyProtection="1">
      <alignment horizontal="center" vertical="center"/>
      <protection hidden="1"/>
    </xf>
    <xf numFmtId="10" fontId="35" fillId="7" borderId="5" xfId="19" applyNumberFormat="1" applyFont="1" applyFill="1" applyBorder="1" applyAlignment="1" applyProtection="1">
      <alignment horizontal="center" vertical="center"/>
      <protection hidden="1"/>
    </xf>
    <xf numFmtId="0" fontId="35" fillId="7" borderId="4" xfId="19" applyFont="1" applyFill="1" applyBorder="1" applyAlignment="1" applyProtection="1">
      <alignment horizontal="center" vertical="center"/>
      <protection hidden="1"/>
    </xf>
    <xf numFmtId="10" fontId="35" fillId="7" borderId="6" xfId="19" applyNumberFormat="1" applyFont="1" applyFill="1" applyBorder="1" applyAlignment="1" applyProtection="1">
      <alignment horizontal="center" vertical="center"/>
      <protection hidden="1"/>
    </xf>
    <xf numFmtId="0" fontId="35" fillId="7" borderId="7" xfId="19" applyFont="1" applyFill="1" applyBorder="1" applyAlignment="1" applyProtection="1">
      <alignment horizontal="center" vertical="center"/>
      <protection hidden="1"/>
    </xf>
    <xf numFmtId="10" fontId="35" fillId="7" borderId="8" xfId="19" applyNumberFormat="1" applyFont="1" applyFill="1" applyBorder="1" applyAlignment="1" applyProtection="1">
      <alignment horizontal="center" vertical="center"/>
      <protection hidden="1"/>
    </xf>
    <xf numFmtId="0" fontId="37" fillId="7" borderId="9" xfId="19" applyFont="1" applyFill="1" applyBorder="1" applyAlignment="1" applyProtection="1">
      <alignment horizontal="center" vertical="center" wrapText="1"/>
      <protection hidden="1"/>
    </xf>
    <xf numFmtId="0" fontId="37" fillId="7" borderId="9" xfId="19" applyFont="1" applyFill="1" applyBorder="1" applyAlignment="1" applyProtection="1">
      <alignment horizontal="center" vertical="center"/>
      <protection hidden="1"/>
    </xf>
    <xf numFmtId="10" fontId="37" fillId="7" borderId="9" xfId="19" applyNumberFormat="1" applyFont="1" applyFill="1" applyBorder="1" applyAlignment="1" applyProtection="1">
      <alignment horizontal="center" vertical="center"/>
      <protection hidden="1"/>
    </xf>
    <xf numFmtId="0" fontId="35" fillId="8" borderId="3" xfId="19" applyNumberFormat="1" applyFont="1" applyFill="1" applyBorder="1" applyAlignment="1" applyProtection="1">
      <alignment horizontal="center" vertical="center"/>
      <protection hidden="1"/>
    </xf>
    <xf numFmtId="2" fontId="35" fillId="8" borderId="3" xfId="19" applyNumberFormat="1" applyFont="1" applyFill="1" applyBorder="1" applyAlignment="1" applyProtection="1">
      <alignment horizontal="center" vertical="center"/>
      <protection hidden="1"/>
    </xf>
    <xf numFmtId="0" fontId="35" fillId="8" borderId="7" xfId="19" applyNumberFormat="1" applyFont="1" applyFill="1" applyBorder="1" applyAlignment="1" applyProtection="1">
      <alignment horizontal="center" vertical="center"/>
      <protection hidden="1"/>
    </xf>
    <xf numFmtId="2" fontId="35" fillId="8" borderId="7" xfId="19" applyNumberFormat="1" applyFont="1" applyFill="1" applyBorder="1" applyAlignment="1" applyProtection="1">
      <alignment horizontal="center" vertical="center"/>
      <protection hidden="1"/>
    </xf>
    <xf numFmtId="0" fontId="37" fillId="8" borderId="9" xfId="19" applyFont="1" applyFill="1" applyBorder="1" applyAlignment="1" applyProtection="1">
      <alignment vertical="center"/>
      <protection hidden="1"/>
    </xf>
    <xf numFmtId="0" fontId="37" fillId="8" borderId="9" xfId="19" applyFont="1" applyFill="1" applyBorder="1" applyAlignment="1" applyProtection="1">
      <alignment horizontal="left" vertical="center" wrapText="1"/>
      <protection hidden="1"/>
    </xf>
    <xf numFmtId="0" fontId="37" fillId="8" borderId="9" xfId="19" applyFont="1" applyFill="1" applyBorder="1" applyAlignment="1" applyProtection="1">
      <alignment vertical="center" wrapText="1"/>
      <protection hidden="1"/>
    </xf>
    <xf numFmtId="0" fontId="38" fillId="5" borderId="11" xfId="19" applyFont="1" applyFill="1" applyBorder="1" applyAlignment="1" applyProtection="1">
      <alignment horizontal="left" vertical="center"/>
      <protection hidden="1"/>
    </xf>
    <xf numFmtId="0" fontId="38" fillId="5" borderId="12" xfId="19" applyFont="1" applyFill="1" applyBorder="1" applyAlignment="1" applyProtection="1">
      <alignment horizontal="left" vertical="center"/>
      <protection hidden="1"/>
    </xf>
    <xf numFmtId="0" fontId="34" fillId="5" borderId="13" xfId="19" applyFont="1" applyFill="1" applyBorder="1" applyAlignment="1" applyProtection="1">
      <alignment horizontal="center" vertical="center" wrapText="1"/>
      <protection hidden="1"/>
    </xf>
    <xf numFmtId="10" fontId="35" fillId="5" borderId="13" xfId="19" applyNumberFormat="1" applyFont="1" applyFill="1" applyBorder="1" applyAlignment="1" applyProtection="1">
      <alignment horizontal="center" vertical="center"/>
      <protection hidden="1"/>
    </xf>
    <xf numFmtId="10" fontId="36" fillId="5" borderId="13" xfId="19" applyNumberFormat="1" applyFont="1" applyFill="1" applyBorder="1" applyAlignment="1" applyProtection="1">
      <alignment horizontal="center" vertical="center"/>
      <protection hidden="1"/>
    </xf>
    <xf numFmtId="10" fontId="35" fillId="5" borderId="14" xfId="19" applyNumberFormat="1" applyFont="1" applyFill="1" applyBorder="1" applyAlignment="1" applyProtection="1">
      <alignment horizontal="center" vertical="center"/>
      <protection hidden="1"/>
    </xf>
    <xf numFmtId="2" fontId="36" fillId="5" borderId="13" xfId="19" applyNumberFormat="1" applyFont="1" applyFill="1" applyBorder="1" applyAlignment="1" applyProtection="1">
      <alignment horizontal="center" vertical="center"/>
      <protection hidden="1"/>
    </xf>
    <xf numFmtId="2" fontId="35" fillId="5" borderId="14" xfId="19" applyNumberFormat="1" applyFont="1" applyFill="1" applyBorder="1" applyAlignment="1" applyProtection="1">
      <alignment horizontal="center" vertical="center"/>
      <protection hidden="1"/>
    </xf>
    <xf numFmtId="0" fontId="34" fillId="5" borderId="12" xfId="19" applyFont="1" applyFill="1" applyBorder="1" applyAlignment="1" applyProtection="1">
      <alignment horizontal="center" vertical="center" wrapText="1"/>
      <protection hidden="1"/>
    </xf>
    <xf numFmtId="0" fontId="34" fillId="5" borderId="12" xfId="19" applyFont="1" applyFill="1" applyBorder="1" applyAlignment="1" applyProtection="1">
      <alignment horizontal="center" textRotation="90" wrapText="1"/>
      <protection hidden="1"/>
    </xf>
    <xf numFmtId="0" fontId="34" fillId="5" borderId="15" xfId="19" applyFont="1" applyFill="1" applyBorder="1" applyAlignment="1" applyProtection="1">
      <alignment horizontal="center" textRotation="90" wrapText="1"/>
      <protection hidden="1"/>
    </xf>
    <xf numFmtId="2" fontId="35" fillId="5" borderId="4" xfId="19" applyNumberFormat="1" applyFont="1" applyFill="1" applyBorder="1" applyAlignment="1" applyProtection="1">
      <alignment horizontal="center" vertical="center"/>
      <protection hidden="1"/>
    </xf>
    <xf numFmtId="0" fontId="34" fillId="5" borderId="12" xfId="19" applyFont="1" applyFill="1" applyBorder="1" applyAlignment="1" applyProtection="1">
      <alignment horizontal="center" vertical="center"/>
      <protection hidden="1"/>
    </xf>
    <xf numFmtId="0" fontId="34" fillId="5" borderId="12" xfId="19" applyFont="1" applyFill="1" applyBorder="1" applyAlignment="1" applyProtection="1">
      <alignment horizontal="center" textRotation="90"/>
      <protection hidden="1"/>
    </xf>
    <xf numFmtId="0" fontId="34" fillId="5" borderId="15" xfId="19" applyFont="1" applyFill="1" applyBorder="1" applyAlignment="1" applyProtection="1">
      <alignment horizontal="center" textRotation="90"/>
      <protection hidden="1"/>
    </xf>
    <xf numFmtId="0" fontId="31" fillId="0" borderId="0" xfId="19" applyFill="1" applyBorder="1" applyAlignment="1" applyProtection="1">
      <alignment vertical="center"/>
      <protection hidden="1"/>
    </xf>
    <xf numFmtId="10" fontId="35" fillId="5" borderId="16" xfId="19" applyNumberFormat="1" applyFont="1" applyFill="1" applyBorder="1" applyAlignment="1" applyProtection="1">
      <alignment horizontal="center" vertical="center"/>
      <protection hidden="1"/>
    </xf>
    <xf numFmtId="10" fontId="35" fillId="5" borderId="17" xfId="19" applyNumberFormat="1" applyFont="1" applyFill="1" applyBorder="1" applyAlignment="1" applyProtection="1">
      <alignment horizontal="center" vertical="center"/>
      <protection hidden="1"/>
    </xf>
    <xf numFmtId="2" fontId="35" fillId="5" borderId="17" xfId="19" applyNumberFormat="1" applyFont="1" applyFill="1" applyBorder="1" applyAlignment="1" applyProtection="1">
      <alignment horizontal="center" vertical="center"/>
      <protection hidden="1"/>
    </xf>
    <xf numFmtId="0" fontId="34" fillId="8" borderId="0" xfId="19" applyFont="1" applyFill="1" applyBorder="1" applyAlignment="1" applyProtection="1">
      <alignment horizontal="center" wrapText="1"/>
      <protection hidden="1"/>
    </xf>
    <xf numFmtId="0" fontId="35" fillId="8" borderId="4" xfId="19" applyNumberFormat="1" applyFont="1" applyFill="1" applyBorder="1" applyAlignment="1" applyProtection="1">
      <alignment horizontal="center" vertical="center"/>
      <protection hidden="1"/>
    </xf>
    <xf numFmtId="2" fontId="35" fillId="8" borderId="4" xfId="19" applyNumberFormat="1" applyFont="1" applyFill="1" applyBorder="1" applyAlignment="1" applyProtection="1">
      <alignment horizontal="center" vertical="center"/>
      <protection hidden="1"/>
    </xf>
    <xf numFmtId="0" fontId="35" fillId="7" borderId="13" xfId="19" applyFont="1" applyFill="1" applyBorder="1" applyAlignment="1" applyProtection="1">
      <alignment horizontal="center" vertical="center"/>
      <protection hidden="1"/>
    </xf>
    <xf numFmtId="10" fontId="35" fillId="7" borderId="14" xfId="19" applyNumberFormat="1" applyFont="1" applyFill="1" applyBorder="1" applyAlignment="1" applyProtection="1">
      <alignment horizontal="center" vertical="center"/>
      <protection hidden="1"/>
    </xf>
    <xf numFmtId="0" fontId="37" fillId="4" borderId="0" xfId="19" applyFont="1" applyFill="1" applyBorder="1" applyAlignment="1" applyProtection="1">
      <alignment vertical="center"/>
      <protection hidden="1"/>
    </xf>
    <xf numFmtId="2" fontId="35" fillId="0" borderId="0" xfId="19" applyNumberFormat="1" applyFont="1" applyFill="1" applyBorder="1" applyAlignment="1" applyProtection="1">
      <alignment horizontal="center" vertical="center"/>
      <protection hidden="1"/>
    </xf>
    <xf numFmtId="0" fontId="34" fillId="0" borderId="0" xfId="19" applyFont="1" applyFill="1" applyBorder="1" applyAlignment="1" applyProtection="1">
      <alignment horizontal="center" vertical="center" wrapText="1"/>
      <protection hidden="1"/>
    </xf>
    <xf numFmtId="0" fontId="37" fillId="0" borderId="0" xfId="19" applyFont="1" applyFill="1" applyBorder="1" applyAlignment="1" applyProtection="1">
      <alignment horizontal="left" vertical="center"/>
      <protection hidden="1"/>
    </xf>
    <xf numFmtId="0" fontId="35" fillId="0" borderId="0" xfId="19" applyFont="1" applyFill="1" applyBorder="1" applyAlignment="1" applyProtection="1">
      <alignment horizontal="center" vertical="center"/>
      <protection hidden="1"/>
    </xf>
    <xf numFmtId="10" fontId="35" fillId="0" borderId="0" xfId="19" applyNumberFormat="1" applyFont="1" applyFill="1" applyBorder="1" applyAlignment="1" applyProtection="1">
      <alignment horizontal="center" vertical="center"/>
      <protection hidden="1"/>
    </xf>
    <xf numFmtId="10" fontId="36" fillId="0" borderId="0" xfId="19" applyNumberFormat="1" applyFont="1" applyFill="1" applyBorder="1" applyAlignment="1" applyProtection="1">
      <alignment horizontal="center" vertical="center"/>
      <protection hidden="1"/>
    </xf>
    <xf numFmtId="2" fontId="36" fillId="0" borderId="0" xfId="19" applyNumberFormat="1" applyFont="1" applyFill="1" applyBorder="1" applyAlignment="1" applyProtection="1">
      <alignment horizontal="center" vertical="center"/>
      <protection hidden="1"/>
    </xf>
    <xf numFmtId="1" fontId="35" fillId="5" borderId="7" xfId="19" applyNumberFormat="1" applyFont="1" applyFill="1" applyBorder="1" applyAlignment="1" applyProtection="1">
      <alignment horizontal="center" vertical="center"/>
      <protection hidden="1"/>
    </xf>
    <xf numFmtId="0" fontId="34" fillId="6" borderId="15" xfId="19" applyFont="1" applyFill="1" applyBorder="1" applyAlignment="1" applyProtection="1">
      <alignment horizontal="center" vertical="center" wrapText="1"/>
      <protection hidden="1"/>
    </xf>
    <xf numFmtId="0" fontId="34" fillId="6" borderId="5" xfId="19" applyFont="1" applyFill="1" applyBorder="1" applyAlignment="1" applyProtection="1">
      <alignment horizontal="center" vertical="center" wrapText="1"/>
      <protection hidden="1"/>
    </xf>
    <xf numFmtId="0" fontId="34" fillId="6" borderId="6" xfId="19" applyFont="1" applyFill="1" applyBorder="1" applyAlignment="1" applyProtection="1">
      <alignment horizontal="center" vertical="center" wrapText="1"/>
      <protection hidden="1"/>
    </xf>
    <xf numFmtId="0" fontId="34" fillId="6" borderId="8" xfId="19" applyFont="1" applyFill="1" applyBorder="1" applyAlignment="1" applyProtection="1">
      <alignment horizontal="center" vertical="center" wrapText="1"/>
      <protection hidden="1"/>
    </xf>
    <xf numFmtId="0" fontId="34" fillId="7" borderId="0" xfId="19" applyFont="1" applyFill="1" applyBorder="1" applyAlignment="1" applyProtection="1">
      <alignment horizontal="center" vertical="center" wrapText="1"/>
      <protection hidden="1"/>
    </xf>
    <xf numFmtId="0" fontId="34" fillId="7" borderId="18" xfId="19" applyFont="1" applyFill="1" applyBorder="1" applyAlignment="1" applyProtection="1">
      <alignment horizontal="center" vertical="center" wrapText="1"/>
      <protection hidden="1"/>
    </xf>
    <xf numFmtId="0" fontId="34" fillId="7" borderId="19" xfId="19" applyFont="1" applyFill="1" applyBorder="1" applyAlignment="1" applyProtection="1">
      <alignment horizontal="center" vertical="center" wrapText="1"/>
      <protection hidden="1"/>
    </xf>
    <xf numFmtId="0" fontId="34" fillId="7" borderId="5" xfId="19" applyFont="1" applyFill="1" applyBorder="1" applyAlignment="1" applyProtection="1">
      <alignment horizontal="center" vertical="center" wrapText="1"/>
      <protection hidden="1"/>
    </xf>
    <xf numFmtId="0" fontId="34" fillId="7" borderId="14" xfId="19" applyFont="1" applyFill="1" applyBorder="1" applyAlignment="1" applyProtection="1">
      <alignment horizontal="center" vertical="center" wrapText="1"/>
      <protection hidden="1"/>
    </xf>
    <xf numFmtId="0" fontId="34" fillId="7" borderId="6" xfId="19" applyFont="1" applyFill="1" applyBorder="1" applyAlignment="1" applyProtection="1">
      <alignment horizontal="center" vertical="center" wrapText="1"/>
      <protection hidden="1"/>
    </xf>
    <xf numFmtId="0" fontId="34" fillId="8" borderId="15" xfId="19" applyFont="1" applyFill="1" applyBorder="1" applyAlignment="1" applyProtection="1">
      <alignment horizontal="center" vertical="center" wrapText="1"/>
      <protection hidden="1"/>
    </xf>
    <xf numFmtId="0" fontId="34" fillId="8" borderId="5" xfId="19" applyFont="1" applyFill="1" applyBorder="1" applyAlignment="1" applyProtection="1">
      <alignment horizontal="center" vertical="center" wrapText="1"/>
      <protection hidden="1"/>
    </xf>
    <xf numFmtId="0" fontId="34" fillId="8" borderId="6" xfId="19" applyFont="1" applyFill="1" applyBorder="1" applyAlignment="1" applyProtection="1">
      <alignment horizontal="center" vertical="center" wrapText="1"/>
      <protection hidden="1"/>
    </xf>
    <xf numFmtId="0" fontId="34" fillId="8" borderId="8" xfId="19" applyFont="1" applyFill="1" applyBorder="1" applyAlignment="1" applyProtection="1">
      <alignment horizontal="center" vertical="center" wrapText="1"/>
      <protection hidden="1"/>
    </xf>
    <xf numFmtId="0" fontId="35" fillId="4" borderId="4" xfId="19" applyFont="1" applyFill="1" applyBorder="1" applyAlignment="1" applyProtection="1">
      <alignment horizontal="center" vertical="center"/>
      <protection locked="0"/>
    </xf>
    <xf numFmtId="0" fontId="35" fillId="4" borderId="7" xfId="19" applyFont="1" applyFill="1" applyBorder="1" applyAlignment="1" applyProtection="1">
      <alignment horizontal="center" vertical="center"/>
      <protection locked="0"/>
    </xf>
    <xf numFmtId="0" fontId="35" fillId="0" borderId="13" xfId="19" applyFont="1" applyFill="1" applyBorder="1" applyAlignment="1" applyProtection="1">
      <alignment horizontal="center" vertical="center"/>
      <protection locked="0"/>
    </xf>
    <xf numFmtId="0" fontId="35" fillId="0" borderId="4" xfId="19" applyFont="1" applyFill="1" applyBorder="1" applyAlignment="1" applyProtection="1">
      <alignment horizontal="center" vertical="center"/>
      <protection locked="0"/>
    </xf>
    <xf numFmtId="0" fontId="35" fillId="0" borderId="7" xfId="19" applyFont="1" applyFill="1" applyBorder="1" applyAlignment="1" applyProtection="1">
      <alignment horizontal="center" vertical="center"/>
      <protection locked="0"/>
    </xf>
    <xf numFmtId="0" fontId="36" fillId="4" borderId="4" xfId="19" applyFont="1" applyFill="1" applyBorder="1" applyAlignment="1" applyProtection="1">
      <alignment horizontal="center" vertical="center"/>
      <protection locked="0"/>
    </xf>
    <xf numFmtId="1" fontId="35" fillId="0" borderId="4" xfId="19" applyNumberFormat="1" applyFont="1" applyFill="1" applyBorder="1" applyAlignment="1" applyProtection="1">
      <alignment horizontal="center" vertical="center"/>
      <protection locked="0"/>
    </xf>
    <xf numFmtId="1" fontId="35" fillId="0" borderId="7" xfId="19" applyNumberFormat="1" applyFont="1" applyFill="1" applyBorder="1" applyAlignment="1" applyProtection="1">
      <alignment horizontal="center" vertical="center"/>
      <protection locked="0"/>
    </xf>
    <xf numFmtId="1" fontId="36" fillId="0" borderId="16" xfId="19" applyNumberFormat="1" applyFont="1" applyFill="1" applyBorder="1" applyAlignment="1" applyProtection="1">
      <alignment horizontal="center" vertical="center"/>
      <protection locked="0"/>
    </xf>
    <xf numFmtId="2" fontId="35" fillId="0" borderId="17" xfId="19" applyNumberFormat="1" applyFont="1" applyFill="1" applyBorder="1" applyAlignment="1" applyProtection="1">
      <alignment horizontal="center" vertical="center"/>
      <protection locked="0"/>
    </xf>
    <xf numFmtId="2" fontId="35" fillId="0" borderId="8" xfId="19" applyNumberFormat="1" applyFont="1" applyFill="1" applyBorder="1" applyAlignment="1" applyProtection="1">
      <alignment horizontal="center" vertical="center"/>
      <protection locked="0"/>
    </xf>
    <xf numFmtId="10" fontId="35" fillId="0" borderId="17" xfId="19" applyNumberFormat="1" applyFont="1" applyFill="1" applyBorder="1" applyAlignment="1" applyProtection="1">
      <alignment horizontal="center" vertical="center"/>
      <protection locked="0"/>
    </xf>
    <xf numFmtId="10" fontId="35" fillId="0" borderId="8" xfId="19" applyNumberFormat="1" applyFont="1" applyFill="1" applyBorder="1" applyAlignment="1" applyProtection="1">
      <alignment horizontal="center" vertical="center"/>
      <protection locked="0"/>
    </xf>
    <xf numFmtId="1" fontId="35" fillId="5" borderId="5" xfId="19" applyNumberFormat="1" applyFont="1" applyFill="1" applyBorder="1" applyAlignment="1" applyProtection="1">
      <alignment horizontal="center" vertical="center"/>
      <protection hidden="1"/>
    </xf>
    <xf numFmtId="1" fontId="35" fillId="5" borderId="6" xfId="19" applyNumberFormat="1" applyFont="1" applyFill="1" applyBorder="1" applyAlignment="1" applyProtection="1">
      <alignment horizontal="center" vertical="center"/>
      <protection hidden="1"/>
    </xf>
    <xf numFmtId="1" fontId="35" fillId="5" borderId="17" xfId="19" applyNumberFormat="1" applyFont="1" applyFill="1" applyBorder="1" applyAlignment="1" applyProtection="1">
      <alignment horizontal="center" vertical="center"/>
      <protection hidden="1"/>
    </xf>
    <xf numFmtId="1" fontId="35" fillId="5" borderId="8" xfId="19" applyNumberFormat="1" applyFont="1" applyFill="1" applyBorder="1" applyAlignment="1" applyProtection="1">
      <alignment horizontal="center" vertical="center"/>
      <protection hidden="1"/>
    </xf>
    <xf numFmtId="1" fontId="35" fillId="5" borderId="3" xfId="19" applyNumberFormat="1" applyFont="1" applyFill="1" applyBorder="1" applyAlignment="1" applyProtection="1">
      <alignment horizontal="center" vertical="center"/>
      <protection hidden="1"/>
    </xf>
    <xf numFmtId="1" fontId="35" fillId="5" borderId="4" xfId="19" applyNumberFormat="1" applyFont="1" applyFill="1" applyBorder="1" applyAlignment="1" applyProtection="1">
      <alignment horizontal="center" vertical="center"/>
      <protection hidden="1"/>
    </xf>
    <xf numFmtId="0" fontId="0" fillId="9" borderId="25" xfId="0" applyFill="1" applyBorder="1" applyAlignment="1" applyProtection="1">
      <alignment horizontal="left" vertical="center" wrapText="1" indent="1"/>
    </xf>
    <xf numFmtId="10" fontId="6" fillId="9" borderId="25" xfId="0" quotePrefix="1" applyNumberFormat="1" applyFont="1" applyFill="1" applyBorder="1" applyAlignment="1" applyProtection="1">
      <alignment horizontal="center" vertical="center" wrapText="1"/>
    </xf>
    <xf numFmtId="10" fontId="6" fillId="9" borderId="25" xfId="0" applyNumberFormat="1" applyFont="1" applyFill="1" applyBorder="1" applyAlignment="1" applyProtection="1">
      <alignment horizontal="center" vertical="center" wrapText="1"/>
    </xf>
    <xf numFmtId="10" fontId="6" fillId="9" borderId="26" xfId="0" applyNumberFormat="1" applyFont="1" applyFill="1" applyBorder="1" applyAlignment="1" applyProtection="1">
      <alignment horizontal="center" vertical="center" wrapText="1"/>
    </xf>
    <xf numFmtId="1" fontId="6" fillId="9" borderId="25" xfId="0" applyNumberFormat="1" applyFont="1" applyFill="1" applyBorder="1" applyAlignment="1" applyProtection="1">
      <alignment horizontal="center" vertical="center" wrapText="1"/>
    </xf>
    <xf numFmtId="0" fontId="0" fillId="0" borderId="0" xfId="0" applyProtection="1"/>
    <xf numFmtId="2" fontId="0" fillId="9" borderId="26" xfId="0" applyNumberFormat="1" applyFill="1" applyBorder="1" applyAlignment="1" applyProtection="1">
      <alignment horizontal="left" vertical="center" wrapText="1" indent="1"/>
    </xf>
    <xf numFmtId="2" fontId="6" fillId="9" borderId="25" xfId="0" quotePrefix="1" applyNumberFormat="1" applyFont="1" applyFill="1" applyBorder="1" applyAlignment="1" applyProtection="1">
      <alignment horizontal="center" vertical="center" wrapText="1"/>
    </xf>
    <xf numFmtId="2" fontId="6" fillId="9" borderId="26" xfId="0" applyNumberFormat="1" applyFont="1" applyFill="1" applyBorder="1" applyAlignment="1" applyProtection="1">
      <alignment horizontal="center" vertical="center" wrapText="1"/>
    </xf>
    <xf numFmtId="1" fontId="6" fillId="9" borderId="26" xfId="0" applyNumberFormat="1" applyFont="1" applyFill="1" applyBorder="1" applyAlignment="1" applyProtection="1">
      <alignment horizontal="center" vertical="center" wrapText="1"/>
    </xf>
    <xf numFmtId="2" fontId="0" fillId="0" borderId="0" xfId="0" applyNumberFormat="1" applyProtection="1"/>
    <xf numFmtId="0" fontId="0" fillId="9" borderId="26" xfId="0" applyFill="1" applyBorder="1" applyAlignment="1" applyProtection="1">
      <alignment horizontal="left" vertical="center" wrapText="1" indent="1"/>
    </xf>
    <xf numFmtId="0" fontId="0" fillId="9" borderId="26" xfId="0" applyFill="1" applyBorder="1" applyAlignment="1" applyProtection="1">
      <alignment horizontal="center" vertical="center" wrapText="1"/>
    </xf>
    <xf numFmtId="1" fontId="6" fillId="9" borderId="26" xfId="0" applyNumberFormat="1" applyFont="1" applyFill="1" applyBorder="1" applyAlignment="1" applyProtection="1">
      <alignment horizontal="center" vertical="center"/>
    </xf>
    <xf numFmtId="0" fontId="0" fillId="9" borderId="26" xfId="0" applyFont="1" applyFill="1" applyBorder="1" applyAlignment="1" applyProtection="1">
      <alignment horizontal="center" vertical="center" wrapText="1"/>
    </xf>
    <xf numFmtId="0" fontId="6" fillId="9" borderId="26" xfId="0" quotePrefix="1" applyNumberFormat="1" applyFont="1" applyFill="1" applyBorder="1" applyAlignment="1" applyProtection="1">
      <alignment horizontal="center" vertical="center" wrapText="1"/>
    </xf>
    <xf numFmtId="0" fontId="8" fillId="9" borderId="26" xfId="0" applyFont="1" applyFill="1" applyBorder="1" applyAlignment="1" applyProtection="1">
      <alignment horizontal="left" vertical="center" wrapText="1"/>
    </xf>
    <xf numFmtId="2" fontId="6" fillId="9" borderId="26" xfId="0" quotePrefix="1" applyNumberFormat="1" applyFont="1" applyFill="1" applyBorder="1" applyAlignment="1" applyProtection="1">
      <alignment horizontal="center" vertical="center" wrapText="1"/>
    </xf>
    <xf numFmtId="2" fontId="6" fillId="9" borderId="26" xfId="0" applyNumberFormat="1" applyFont="1" applyFill="1" applyBorder="1" applyAlignment="1" applyProtection="1">
      <alignment horizontal="center" vertical="center"/>
    </xf>
    <xf numFmtId="0" fontId="0" fillId="0" borderId="0" xfId="0" applyAlignment="1" applyProtection="1">
      <alignment horizontal="center" vertical="center" wrapText="1"/>
    </xf>
    <xf numFmtId="0" fontId="8" fillId="0" borderId="0" xfId="0" applyFont="1" applyAlignment="1" applyProtection="1">
      <alignment horizontal="left" wrapText="1"/>
    </xf>
    <xf numFmtId="1" fontId="8" fillId="0" borderId="0" xfId="0" applyNumberFormat="1" applyFont="1" applyAlignment="1" applyProtection="1">
      <alignment horizontal="left" wrapText="1"/>
    </xf>
    <xf numFmtId="0" fontId="8" fillId="0" borderId="0" xfId="0" applyFont="1" applyFill="1" applyBorder="1" applyAlignment="1" applyProtection="1">
      <alignment horizontal="left" wrapText="1"/>
    </xf>
    <xf numFmtId="0" fontId="35" fillId="9" borderId="3" xfId="19" applyFont="1" applyFill="1" applyBorder="1" applyAlignment="1" applyProtection="1">
      <alignment horizontal="center" vertical="center"/>
      <protection locked="0"/>
    </xf>
    <xf numFmtId="0" fontId="35" fillId="9" borderId="4" xfId="19" applyFont="1" applyFill="1" applyBorder="1" applyAlignment="1" applyProtection="1">
      <alignment horizontal="center" vertical="center"/>
      <protection locked="0"/>
    </xf>
    <xf numFmtId="1" fontId="36" fillId="9" borderId="13" xfId="19" applyNumberFormat="1" applyFont="1" applyFill="1" applyBorder="1" applyAlignment="1" applyProtection="1">
      <alignment horizontal="center" vertical="center"/>
      <protection locked="0"/>
    </xf>
    <xf numFmtId="10" fontId="36" fillId="0" borderId="4" xfId="19" applyNumberFormat="1" applyFont="1" applyFill="1" applyBorder="1" applyAlignment="1" applyProtection="1">
      <alignment horizontal="center" vertical="center"/>
      <protection locked="0"/>
    </xf>
    <xf numFmtId="10" fontId="36" fillId="0" borderId="7" xfId="19" applyNumberFormat="1" applyFont="1" applyFill="1" applyBorder="1" applyAlignment="1" applyProtection="1">
      <alignment horizontal="center" vertical="center"/>
      <protection locked="0"/>
    </xf>
    <xf numFmtId="2" fontId="36" fillId="0" borderId="4" xfId="19" applyNumberFormat="1" applyFont="1" applyFill="1" applyBorder="1" applyAlignment="1" applyProtection="1">
      <alignment horizontal="center" vertical="center"/>
      <protection locked="0"/>
    </xf>
    <xf numFmtId="2" fontId="36" fillId="0" borderId="7" xfId="19" applyNumberFormat="1" applyFont="1" applyFill="1" applyBorder="1" applyAlignment="1" applyProtection="1">
      <alignment horizontal="center" vertical="center"/>
      <protection locked="0"/>
    </xf>
    <xf numFmtId="0" fontId="38" fillId="0" borderId="11" xfId="19" applyFont="1" applyFill="1" applyBorder="1" applyAlignment="1" applyProtection="1">
      <alignment horizontal="left" vertical="center" wrapText="1"/>
      <protection locked="0"/>
    </xf>
    <xf numFmtId="0" fontId="18" fillId="2" borderId="20" xfId="21" applyFont="1" applyFill="1" applyBorder="1" applyAlignment="1">
      <alignment horizontal="center"/>
    </xf>
    <xf numFmtId="0" fontId="34" fillId="0" borderId="10" xfId="19" applyFont="1" applyBorder="1"/>
    <xf numFmtId="0" fontId="18" fillId="2" borderId="10" xfId="21" applyFont="1" applyFill="1" applyBorder="1" applyAlignment="1">
      <alignment horizontal="center"/>
    </xf>
    <xf numFmtId="0" fontId="18" fillId="0" borderId="10" xfId="21" applyFont="1" applyFill="1" applyBorder="1" applyAlignment="1">
      <alignment wrapText="1"/>
    </xf>
    <xf numFmtId="0" fontId="6" fillId="9" borderId="26" xfId="0" applyNumberFormat="1" applyFont="1" applyFill="1" applyBorder="1" applyAlignment="1" applyProtection="1">
      <alignment horizontal="center" vertical="center" wrapText="1"/>
    </xf>
    <xf numFmtId="0" fontId="6" fillId="9" borderId="26" xfId="0" quotePrefix="1" applyNumberFormat="1" applyFont="1" applyFill="1" applyBorder="1" applyAlignment="1" applyProtection="1">
      <alignment horizontal="center" vertical="center" wrapText="1"/>
    </xf>
    <xf numFmtId="0" fontId="40" fillId="4" borderId="0" xfId="19" applyFont="1" applyFill="1" applyAlignment="1" applyProtection="1">
      <alignment horizontal="center" vertical="center"/>
      <protection hidden="1"/>
    </xf>
    <xf numFmtId="2" fontId="35" fillId="9" borderId="3" xfId="19" applyNumberFormat="1" applyFont="1" applyFill="1" applyBorder="1" applyAlignment="1" applyProtection="1">
      <alignment horizontal="center" vertical="center"/>
      <protection locked="0"/>
    </xf>
    <xf numFmtId="2" fontId="35" fillId="9" borderId="4" xfId="19" applyNumberFormat="1" applyFont="1" applyFill="1" applyBorder="1" applyAlignment="1" applyProtection="1">
      <alignment horizontal="center" vertical="center"/>
      <protection locked="0"/>
    </xf>
    <xf numFmtId="0" fontId="0" fillId="4" borderId="0" xfId="0" applyFill="1"/>
    <xf numFmtId="0" fontId="0" fillId="4" borderId="0" xfId="0" applyFill="1" applyAlignment="1">
      <alignment vertical="center"/>
    </xf>
    <xf numFmtId="0" fontId="23" fillId="4" borderId="0" xfId="0" applyFont="1" applyFill="1" applyAlignment="1">
      <alignment vertical="center"/>
    </xf>
    <xf numFmtId="0" fontId="24" fillId="4" borderId="0" xfId="0" applyFont="1" applyFill="1" applyAlignment="1">
      <alignment vertical="center"/>
    </xf>
    <xf numFmtId="0" fontId="25" fillId="4" borderId="0" xfId="0" applyFont="1" applyFill="1" applyAlignment="1">
      <alignment horizontal="center" vertical="center"/>
    </xf>
    <xf numFmtId="0" fontId="42" fillId="11" borderId="0" xfId="0" applyFont="1" applyFill="1" applyBorder="1" applyAlignment="1" applyProtection="1">
      <alignment horizontal="left" vertical="center" indent="1"/>
      <protection locked="0"/>
    </xf>
    <xf numFmtId="0" fontId="43" fillId="11" borderId="0" xfId="0" applyFont="1" applyFill="1" applyBorder="1" applyAlignment="1" applyProtection="1">
      <alignment horizontal="left" vertical="center" indent="1"/>
      <protection locked="0"/>
    </xf>
    <xf numFmtId="0" fontId="44" fillId="11" borderId="0" xfId="0" applyFont="1" applyFill="1" applyBorder="1" applyAlignment="1" applyProtection="1">
      <alignment horizontal="center" vertical="center"/>
      <protection hidden="1"/>
    </xf>
    <xf numFmtId="0" fontId="20" fillId="4" borderId="0" xfId="0" applyFont="1" applyFill="1" applyAlignment="1">
      <alignment vertical="center"/>
    </xf>
    <xf numFmtId="0" fontId="20" fillId="4" borderId="0" xfId="0" applyFont="1" applyFill="1" applyAlignment="1">
      <alignment horizontal="left" vertical="center"/>
    </xf>
    <xf numFmtId="0" fontId="21" fillId="4" borderId="0" xfId="0" applyFont="1" applyFill="1" applyBorder="1" applyAlignment="1">
      <alignment horizontal="center" vertical="center"/>
    </xf>
    <xf numFmtId="0" fontId="0" fillId="4" borderId="0" xfId="0" applyFont="1" applyFill="1" applyAlignment="1">
      <alignment vertical="center"/>
    </xf>
    <xf numFmtId="0" fontId="35" fillId="0" borderId="0" xfId="0" applyFont="1" applyAlignment="1">
      <alignment horizontal="justify" vertical="center" wrapText="1"/>
    </xf>
    <xf numFmtId="0" fontId="35" fillId="4" borderId="0" xfId="0" applyFont="1" applyFill="1" applyAlignment="1">
      <alignment vertical="center" wrapText="1"/>
    </xf>
    <xf numFmtId="0" fontId="7" fillId="0" borderId="0" xfId="0" applyFont="1" applyAlignment="1">
      <alignment vertical="center"/>
    </xf>
    <xf numFmtId="0" fontId="26" fillId="0" borderId="27" xfId="0" applyFont="1" applyFill="1" applyBorder="1" applyAlignment="1">
      <alignment vertical="center"/>
    </xf>
    <xf numFmtId="0" fontId="7" fillId="0" borderId="27" xfId="0" applyFont="1" applyBorder="1" applyAlignment="1">
      <alignment horizontal="justify" vertical="center" wrapText="1"/>
    </xf>
    <xf numFmtId="0" fontId="23" fillId="0" borderId="0" xfId="0" applyFont="1" applyAlignment="1">
      <alignment vertical="center"/>
    </xf>
    <xf numFmtId="0" fontId="6" fillId="0" borderId="0" xfId="0" applyFont="1" applyBorder="1" applyAlignment="1">
      <alignment horizontal="justify" vertical="center" wrapText="1"/>
    </xf>
    <xf numFmtId="0" fontId="27" fillId="4" borderId="0" xfId="0" applyFont="1" applyFill="1" applyAlignment="1">
      <alignment horizontal="center" vertical="center" wrapText="1"/>
    </xf>
    <xf numFmtId="0" fontId="27" fillId="4" borderId="0" xfId="0" applyFont="1" applyFill="1" applyAlignment="1">
      <alignment horizontal="center" vertical="center"/>
    </xf>
    <xf numFmtId="0" fontId="22" fillId="4" borderId="0" xfId="0" applyFont="1" applyFill="1" applyAlignment="1">
      <alignment vertical="center"/>
    </xf>
    <xf numFmtId="0" fontId="61" fillId="4" borderId="0" xfId="19" applyFont="1" applyFill="1" applyAlignment="1" applyProtection="1">
      <alignment vertical="center"/>
      <protection hidden="1"/>
    </xf>
    <xf numFmtId="0" fontId="34" fillId="8" borderId="10" xfId="19" applyFont="1" applyFill="1" applyBorder="1" applyAlignment="1" applyProtection="1">
      <alignment horizontal="center" wrapText="1"/>
      <protection hidden="1"/>
    </xf>
    <xf numFmtId="0" fontId="39" fillId="8" borderId="10" xfId="19" applyFont="1" applyFill="1" applyBorder="1" applyAlignment="1" applyProtection="1">
      <alignment horizontal="center" wrapText="1"/>
      <protection hidden="1"/>
    </xf>
    <xf numFmtId="0" fontId="34" fillId="5" borderId="2" xfId="19" applyFont="1" applyFill="1" applyBorder="1" applyAlignment="1" applyProtection="1">
      <alignment horizontal="center" wrapText="1"/>
      <protection hidden="1"/>
    </xf>
    <xf numFmtId="0" fontId="34" fillId="5" borderId="19" xfId="19" applyFont="1" applyFill="1" applyBorder="1" applyAlignment="1" applyProtection="1">
      <alignment horizontal="center" wrapText="1"/>
      <protection hidden="1"/>
    </xf>
    <xf numFmtId="0" fontId="4" fillId="4" borderId="0" xfId="1" applyFill="1" applyAlignment="1" applyProtection="1">
      <alignment horizontal="center" vertical="center"/>
      <protection hidden="1"/>
    </xf>
    <xf numFmtId="0" fontId="34" fillId="7" borderId="2" xfId="19" applyFont="1" applyFill="1" applyBorder="1" applyAlignment="1" applyProtection="1">
      <alignment horizontal="center" wrapText="1"/>
      <protection hidden="1"/>
    </xf>
    <xf numFmtId="0" fontId="34" fillId="7" borderId="23" xfId="19" applyFont="1" applyFill="1" applyBorder="1" applyAlignment="1" applyProtection="1">
      <alignment horizontal="center" wrapText="1"/>
      <protection hidden="1"/>
    </xf>
    <xf numFmtId="0" fontId="4" fillId="0" borderId="0" xfId="1" applyAlignment="1">
      <alignment horizontal="center" vertical="center" wrapText="1"/>
    </xf>
    <xf numFmtId="0" fontId="6" fillId="9" borderId="26" xfId="0" quotePrefix="1" applyNumberFormat="1" applyFont="1" applyFill="1" applyBorder="1" applyAlignment="1" applyProtection="1">
      <alignment horizontal="center" vertical="center" wrapText="1"/>
    </xf>
    <xf numFmtId="10" fontId="36" fillId="20" borderId="4" xfId="19" applyNumberFormat="1" applyFont="1" applyFill="1" applyBorder="1" applyAlignment="1" applyProtection="1">
      <alignment horizontal="center" vertical="center"/>
      <protection locked="0"/>
    </xf>
    <xf numFmtId="10" fontId="35" fillId="20" borderId="6" xfId="19" applyNumberFormat="1" applyFont="1" applyFill="1" applyBorder="1" applyAlignment="1" applyProtection="1">
      <alignment horizontal="center" vertical="center"/>
      <protection hidden="1"/>
    </xf>
    <xf numFmtId="2" fontId="35" fillId="20" borderId="4" xfId="19" applyNumberFormat="1" applyFont="1" applyFill="1" applyBorder="1" applyAlignment="1" applyProtection="1">
      <alignment horizontal="center" vertical="center"/>
      <protection hidden="1"/>
    </xf>
    <xf numFmtId="2" fontId="36" fillId="20" borderId="4" xfId="19" applyNumberFormat="1" applyFont="1" applyFill="1" applyBorder="1" applyAlignment="1" applyProtection="1">
      <alignment horizontal="center" vertical="center"/>
      <protection locked="0"/>
    </xf>
    <xf numFmtId="10" fontId="35" fillId="20" borderId="14" xfId="19" applyNumberFormat="1" applyFont="1" applyFill="1" applyBorder="1" applyAlignment="1" applyProtection="1">
      <alignment horizontal="center" vertical="center"/>
      <protection hidden="1"/>
    </xf>
    <xf numFmtId="1" fontId="35" fillId="9" borderId="4" xfId="19" applyNumberFormat="1" applyFont="1" applyFill="1" applyBorder="1" applyAlignment="1" applyProtection="1">
      <alignment horizontal="center" vertical="center"/>
      <protection locked="0"/>
    </xf>
    <xf numFmtId="1" fontId="36" fillId="9" borderId="16" xfId="19" applyNumberFormat="1" applyFont="1" applyFill="1" applyBorder="1" applyAlignment="1" applyProtection="1">
      <alignment horizontal="center" vertical="center"/>
      <protection locked="0"/>
    </xf>
    <xf numFmtId="2" fontId="35" fillId="9" borderId="17" xfId="19" applyNumberFormat="1" applyFont="1" applyFill="1" applyBorder="1" applyAlignment="1" applyProtection="1">
      <alignment horizontal="center" vertical="center"/>
      <protection locked="0"/>
    </xf>
    <xf numFmtId="10" fontId="35" fillId="9" borderId="5" xfId="19" applyNumberFormat="1" applyFont="1" applyFill="1" applyBorder="1" applyAlignment="1" applyProtection="1">
      <alignment horizontal="center" vertical="center"/>
      <protection hidden="1"/>
    </xf>
    <xf numFmtId="10" fontId="35" fillId="9" borderId="6" xfId="19" applyNumberFormat="1" applyFont="1" applyFill="1" applyBorder="1" applyAlignment="1" applyProtection="1">
      <alignment horizontal="center" vertical="center"/>
      <protection hidden="1"/>
    </xf>
    <xf numFmtId="10" fontId="35" fillId="9" borderId="17" xfId="19" applyNumberFormat="1" applyFont="1" applyFill="1" applyBorder="1" applyAlignment="1" applyProtection="1">
      <alignment horizontal="center" vertical="center"/>
      <protection hidden="1"/>
    </xf>
    <xf numFmtId="10" fontId="35" fillId="9" borderId="17" xfId="19" applyNumberFormat="1" applyFont="1" applyFill="1" applyBorder="1" applyAlignment="1" applyProtection="1">
      <alignment horizontal="center" vertical="center"/>
      <protection locked="0"/>
    </xf>
    <xf numFmtId="2" fontId="35" fillId="9" borderId="5" xfId="19" applyNumberFormat="1" applyFont="1" applyFill="1" applyBorder="1" applyAlignment="1" applyProtection="1">
      <alignment horizontal="center" vertical="center"/>
      <protection hidden="1"/>
    </xf>
    <xf numFmtId="2" fontId="35" fillId="9" borderId="6" xfId="19" applyNumberFormat="1" applyFont="1" applyFill="1" applyBorder="1" applyAlignment="1" applyProtection="1">
      <alignment horizontal="center" vertical="center"/>
      <protection hidden="1"/>
    </xf>
    <xf numFmtId="2" fontId="35" fillId="9" borderId="17" xfId="19" applyNumberFormat="1" applyFont="1" applyFill="1" applyBorder="1" applyAlignment="1" applyProtection="1">
      <alignment horizontal="center" vertical="center"/>
      <protection hidden="1"/>
    </xf>
    <xf numFmtId="1" fontId="35" fillId="5" borderId="13" xfId="19" applyNumberFormat="1" applyFont="1" applyFill="1" applyBorder="1" applyAlignment="1" applyProtection="1">
      <alignment horizontal="center" vertical="center"/>
      <protection hidden="1"/>
    </xf>
    <xf numFmtId="10" fontId="35" fillId="9" borderId="14" xfId="19" applyNumberFormat="1" applyFont="1" applyFill="1" applyBorder="1" applyAlignment="1" applyProtection="1">
      <alignment horizontal="center" vertical="center"/>
      <protection hidden="1"/>
    </xf>
    <xf numFmtId="2" fontId="35" fillId="9" borderId="13" xfId="19" applyNumberFormat="1" applyFont="1" applyFill="1" applyBorder="1" applyAlignment="1" applyProtection="1">
      <alignment horizontal="center" vertical="center"/>
      <protection locked="0"/>
    </xf>
    <xf numFmtId="2" fontId="35" fillId="9" borderId="14" xfId="19" applyNumberFormat="1" applyFont="1" applyFill="1" applyBorder="1" applyAlignment="1" applyProtection="1">
      <alignment horizontal="center" vertical="center"/>
      <protection hidden="1"/>
    </xf>
    <xf numFmtId="0" fontId="8" fillId="10" borderId="0" xfId="0" applyFont="1" applyFill="1" applyAlignment="1">
      <alignment horizontal="left" wrapText="1"/>
    </xf>
    <xf numFmtId="0" fontId="8" fillId="0" borderId="0" xfId="0" applyFont="1" applyAlignment="1">
      <alignment horizontal="center"/>
    </xf>
    <xf numFmtId="0" fontId="0" fillId="0" borderId="0" xfId="0" applyAlignment="1">
      <alignment horizontal="center"/>
    </xf>
    <xf numFmtId="0" fontId="8" fillId="0" borderId="0" xfId="0" applyFont="1" applyAlignment="1">
      <alignment horizontal="left"/>
    </xf>
    <xf numFmtId="0" fontId="8" fillId="0" borderId="0" xfId="0" quotePrefix="1" applyFont="1" applyAlignment="1">
      <alignment horizontal="left"/>
    </xf>
    <xf numFmtId="0" fontId="64" fillId="5" borderId="11" xfId="19" applyFont="1" applyFill="1" applyBorder="1" applyAlignment="1" applyProtection="1">
      <alignment horizontal="left" vertical="center"/>
      <protection hidden="1"/>
    </xf>
    <xf numFmtId="0" fontId="65" fillId="5" borderId="11" xfId="19" applyFont="1" applyFill="1" applyBorder="1" applyAlignment="1" applyProtection="1">
      <alignment horizontal="center" vertical="center"/>
      <protection hidden="1"/>
    </xf>
    <xf numFmtId="0" fontId="4" fillId="4" borderId="0" xfId="1" applyFill="1" applyAlignment="1" applyProtection="1">
      <alignment vertical="center"/>
    </xf>
    <xf numFmtId="0" fontId="45" fillId="12" borderId="0" xfId="0" applyFont="1" applyFill="1" applyAlignment="1">
      <alignment horizontal="center" vertical="center" wrapText="1"/>
    </xf>
    <xf numFmtId="0" fontId="46" fillId="12" borderId="0" xfId="0" applyFont="1" applyFill="1" applyAlignment="1">
      <alignment vertical="center" wrapText="1"/>
    </xf>
    <xf numFmtId="0" fontId="35" fillId="0" borderId="0" xfId="0" applyFont="1" applyAlignment="1">
      <alignment horizontal="justify" vertical="center" wrapText="1"/>
    </xf>
    <xf numFmtId="0" fontId="35" fillId="0" borderId="0" xfId="0" applyFont="1" applyAlignment="1">
      <alignment vertical="center" wrapText="1"/>
    </xf>
    <xf numFmtId="0" fontId="35" fillId="4" borderId="0" xfId="0" applyFont="1" applyFill="1" applyAlignment="1">
      <alignment vertical="center" wrapText="1"/>
    </xf>
    <xf numFmtId="0" fontId="4" fillId="0" borderId="0" xfId="1" applyAlignment="1" applyProtection="1"/>
    <xf numFmtId="0" fontId="53" fillId="0" borderId="27" xfId="0" applyFont="1" applyBorder="1" applyAlignment="1">
      <alignment horizontal="left" vertical="center" wrapText="1"/>
    </xf>
    <xf numFmtId="0" fontId="28" fillId="0" borderId="0" xfId="0" applyFont="1" applyAlignment="1">
      <alignment horizontal="justify" vertical="center" wrapText="1"/>
    </xf>
    <xf numFmtId="0" fontId="34" fillId="5" borderId="21" xfId="19" applyFont="1" applyFill="1" applyBorder="1" applyAlignment="1" applyProtection="1">
      <alignment horizontal="center" vertical="center" wrapText="1"/>
      <protection hidden="1"/>
    </xf>
    <xf numFmtId="0" fontId="31" fillId="5" borderId="9" xfId="19" applyFill="1" applyBorder="1" applyAlignment="1" applyProtection="1">
      <alignment horizontal="center" vertical="center" wrapText="1"/>
      <protection hidden="1"/>
    </xf>
    <xf numFmtId="0" fontId="31" fillId="5" borderId="18" xfId="19" applyFill="1" applyBorder="1" applyAlignment="1" applyProtection="1">
      <alignment horizontal="center" vertical="center" wrapText="1"/>
      <protection hidden="1"/>
    </xf>
    <xf numFmtId="0" fontId="34" fillId="5" borderId="9" xfId="19" applyFont="1" applyFill="1" applyBorder="1" applyAlignment="1" applyProtection="1">
      <alignment horizontal="center" vertical="center" wrapText="1"/>
      <protection hidden="1"/>
    </xf>
    <xf numFmtId="0" fontId="34" fillId="5" borderId="18" xfId="19" applyFont="1" applyFill="1" applyBorder="1" applyAlignment="1" applyProtection="1">
      <alignment horizontal="center" vertical="center" wrapText="1"/>
      <protection hidden="1"/>
    </xf>
    <xf numFmtId="0" fontId="62" fillId="4" borderId="0" xfId="19" applyFont="1" applyFill="1" applyAlignment="1" applyProtection="1">
      <alignment vertical="center" wrapText="1"/>
      <protection hidden="1"/>
    </xf>
    <xf numFmtId="0" fontId="0" fillId="0" borderId="0" xfId="0" applyAlignment="1">
      <alignment vertical="center" wrapText="1"/>
    </xf>
    <xf numFmtId="0" fontId="47" fillId="13" borderId="10" xfId="19" applyFont="1" applyFill="1" applyBorder="1" applyAlignment="1" applyProtection="1">
      <alignment horizontal="center" vertical="center" textRotation="90" wrapText="1"/>
      <protection hidden="1"/>
    </xf>
    <xf numFmtId="0" fontId="47" fillId="13" borderId="10" xfId="19" applyFont="1" applyFill="1" applyBorder="1" applyAlignment="1" applyProtection="1">
      <alignment horizontal="center" vertical="center" wrapText="1"/>
      <protection hidden="1"/>
    </xf>
    <xf numFmtId="0" fontId="20" fillId="0" borderId="10" xfId="0" applyFont="1" applyBorder="1" applyAlignment="1">
      <alignment horizontal="center" vertical="center" wrapText="1"/>
    </xf>
    <xf numFmtId="0" fontId="34" fillId="5" borderId="1" xfId="19" applyFont="1" applyFill="1" applyBorder="1" applyAlignment="1" applyProtection="1">
      <alignment horizontal="center" textRotation="90" wrapText="1"/>
      <protection hidden="1"/>
    </xf>
    <xf numFmtId="0" fontId="0" fillId="0" borderId="2" xfId="0" applyBorder="1" applyAlignment="1">
      <alignment horizontal="center" textRotation="90" wrapText="1"/>
    </xf>
    <xf numFmtId="0" fontId="0" fillId="0" borderId="10" xfId="0" applyBorder="1" applyAlignment="1">
      <alignment horizontal="center" vertical="center" wrapText="1"/>
    </xf>
    <xf numFmtId="0" fontId="48" fillId="3" borderId="0" xfId="19" applyFont="1" applyFill="1" applyAlignment="1" applyProtection="1">
      <alignment vertical="center" wrapText="1"/>
      <protection hidden="1"/>
    </xf>
    <xf numFmtId="0" fontId="49" fillId="3" borderId="0" xfId="19" applyFont="1" applyFill="1" applyAlignment="1" applyProtection="1">
      <alignment wrapText="1"/>
      <protection hidden="1"/>
    </xf>
    <xf numFmtId="0" fontId="31" fillId="0" borderId="9" xfId="19" applyBorder="1" applyAlignment="1" applyProtection="1">
      <alignment horizontal="center" vertical="center" wrapText="1"/>
      <protection hidden="1"/>
    </xf>
    <xf numFmtId="0" fontId="63" fillId="4" borderId="11" xfId="19" applyFont="1" applyFill="1" applyBorder="1" applyAlignment="1" applyProtection="1">
      <alignment horizontal="left" vertical="center" wrapText="1"/>
      <protection hidden="1"/>
    </xf>
    <xf numFmtId="0" fontId="8" fillId="0" borderId="12" xfId="0" applyFont="1" applyBorder="1" applyAlignment="1">
      <alignment horizontal="left" wrapText="1"/>
    </xf>
    <xf numFmtId="0" fontId="8" fillId="0" borderId="15" xfId="0" applyFont="1" applyBorder="1" applyAlignment="1">
      <alignment horizontal="left" wrapText="1"/>
    </xf>
    <xf numFmtId="0" fontId="37" fillId="6" borderId="9" xfId="19" applyFont="1" applyFill="1" applyBorder="1" applyAlignment="1" applyProtection="1">
      <alignment horizontal="left" vertical="top" wrapText="1"/>
      <protection hidden="1"/>
    </xf>
    <xf numFmtId="0" fontId="37" fillId="6" borderId="9" xfId="19" applyFont="1" applyFill="1" applyBorder="1" applyAlignment="1" applyProtection="1">
      <alignment vertical="top" wrapText="1"/>
      <protection hidden="1"/>
    </xf>
    <xf numFmtId="0" fontId="41" fillId="15" borderId="1" xfId="19" applyFont="1" applyFill="1" applyBorder="1" applyAlignment="1" applyProtection="1">
      <alignment horizontal="center" vertical="center" textRotation="90" wrapText="1"/>
      <protection hidden="1"/>
    </xf>
    <xf numFmtId="0" fontId="41" fillId="15" borderId="22" xfId="19" applyFont="1" applyFill="1" applyBorder="1" applyAlignment="1" applyProtection="1">
      <alignment horizontal="center" vertical="center" textRotation="90" wrapText="1"/>
      <protection hidden="1"/>
    </xf>
    <xf numFmtId="0" fontId="0" fillId="0" borderId="22" xfId="0" applyBorder="1" applyAlignment="1">
      <alignment horizontal="center" vertical="center" textRotation="90" wrapText="1"/>
    </xf>
    <xf numFmtId="0" fontId="0" fillId="0" borderId="2" xfId="0" applyBorder="1" applyAlignment="1">
      <alignment horizontal="center" vertical="center" textRotation="90" wrapText="1"/>
    </xf>
    <xf numFmtId="0" fontId="0" fillId="0" borderId="0" xfId="0" applyAlignment="1">
      <alignment wrapText="1"/>
    </xf>
    <xf numFmtId="0" fontId="48" fillId="14" borderId="0" xfId="19" applyFont="1" applyFill="1" applyAlignment="1" applyProtection="1">
      <alignment horizontal="left" vertical="center" wrapText="1"/>
      <protection hidden="1"/>
    </xf>
    <xf numFmtId="0" fontId="31" fillId="0" borderId="0" xfId="19" applyAlignment="1" applyProtection="1">
      <alignment wrapText="1"/>
      <protection hidden="1"/>
    </xf>
    <xf numFmtId="0" fontId="38" fillId="6" borderId="12" xfId="19" applyFont="1" applyFill="1" applyBorder="1" applyAlignment="1" applyProtection="1">
      <alignment horizontal="left" vertical="center" wrapText="1"/>
      <protection hidden="1"/>
    </xf>
    <xf numFmtId="0" fontId="0" fillId="0" borderId="12" xfId="0" applyBorder="1" applyAlignment="1">
      <alignment vertical="center" wrapText="1"/>
    </xf>
    <xf numFmtId="0" fontId="0" fillId="0" borderId="15" xfId="0" applyBorder="1" applyAlignment="1">
      <alignment vertical="center" wrapText="1"/>
    </xf>
    <xf numFmtId="0" fontId="48" fillId="16" borderId="0" xfId="19" applyFont="1" applyFill="1" applyAlignment="1" applyProtection="1">
      <alignment vertical="center" wrapText="1"/>
      <protection hidden="1"/>
    </xf>
    <xf numFmtId="0" fontId="38" fillId="7" borderId="12" xfId="19" applyFont="1" applyFill="1" applyBorder="1" applyAlignment="1" applyProtection="1">
      <alignment horizontal="left" vertical="center" wrapText="1"/>
      <protection hidden="1"/>
    </xf>
    <xf numFmtId="0" fontId="0" fillId="7" borderId="12" xfId="0" applyFill="1" applyBorder="1" applyAlignment="1">
      <alignment vertical="center" wrapText="1"/>
    </xf>
    <xf numFmtId="0" fontId="0" fillId="7" borderId="15" xfId="0" applyFill="1" applyBorder="1" applyAlignment="1">
      <alignment vertical="center" wrapText="1"/>
    </xf>
    <xf numFmtId="0" fontId="34" fillId="7" borderId="21" xfId="19" applyFont="1" applyFill="1" applyBorder="1" applyAlignment="1" applyProtection="1">
      <alignment horizontal="center" vertical="center" wrapText="1"/>
      <protection hidden="1"/>
    </xf>
    <xf numFmtId="0" fontId="31" fillId="7" borderId="9" xfId="19" applyFill="1" applyBorder="1" applyAlignment="1" applyProtection="1">
      <alignment horizontal="center" vertical="center" wrapText="1"/>
      <protection hidden="1"/>
    </xf>
    <xf numFmtId="0" fontId="31" fillId="7" borderId="18" xfId="19" applyFill="1" applyBorder="1" applyAlignment="1" applyProtection="1">
      <alignment horizontal="center" vertical="center" wrapText="1"/>
      <protection hidden="1"/>
    </xf>
    <xf numFmtId="0" fontId="34" fillId="7" borderId="10" xfId="19" applyFont="1" applyFill="1" applyBorder="1" applyAlignment="1" applyProtection="1">
      <alignment horizontal="center" textRotation="90" wrapText="1"/>
      <protection hidden="1"/>
    </xf>
    <xf numFmtId="0" fontId="50" fillId="17" borderId="1" xfId="19" applyFont="1" applyFill="1" applyBorder="1" applyAlignment="1" applyProtection="1">
      <alignment horizontal="center" vertical="center" textRotation="90" wrapText="1"/>
      <protection hidden="1"/>
    </xf>
    <xf numFmtId="0" fontId="51" fillId="17" borderId="22" xfId="19" applyFont="1" applyFill="1" applyBorder="1" applyAlignment="1" applyProtection="1">
      <alignment horizontal="center" vertical="center" wrapText="1"/>
      <protection hidden="1"/>
    </xf>
    <xf numFmtId="0" fontId="0" fillId="0" borderId="22" xfId="0" applyBorder="1" applyAlignment="1">
      <alignment horizontal="center" vertical="center" wrapText="1"/>
    </xf>
    <xf numFmtId="0" fontId="0" fillId="0" borderId="2" xfId="0" applyBorder="1" applyAlignment="1">
      <alignment horizontal="center" vertical="center" wrapText="1"/>
    </xf>
    <xf numFmtId="0" fontId="48" fillId="18" borderId="0" xfId="19" applyFont="1" applyFill="1" applyAlignment="1" applyProtection="1">
      <alignment vertical="center" wrapText="1"/>
      <protection hidden="1"/>
    </xf>
    <xf numFmtId="0" fontId="39" fillId="8" borderId="0" xfId="19" applyFont="1" applyFill="1" applyBorder="1" applyAlignment="1" applyProtection="1">
      <alignment horizontal="left" vertical="top" wrapText="1"/>
      <protection hidden="1"/>
    </xf>
    <xf numFmtId="0" fontId="52" fillId="0" borderId="0" xfId="19" applyFont="1" applyBorder="1" applyAlignment="1">
      <alignment wrapText="1"/>
    </xf>
    <xf numFmtId="0" fontId="41" fillId="19" borderId="1" xfId="19" applyFont="1" applyFill="1" applyBorder="1" applyAlignment="1" applyProtection="1">
      <alignment horizontal="center" vertical="center" textRotation="90" wrapText="1"/>
      <protection hidden="1"/>
    </xf>
    <xf numFmtId="0" fontId="41" fillId="19" borderId="22" xfId="19" applyFont="1" applyFill="1" applyBorder="1" applyAlignment="1" applyProtection="1">
      <alignment horizontal="center" vertical="center" textRotation="90" wrapText="1"/>
      <protection hidden="1"/>
    </xf>
    <xf numFmtId="0" fontId="31" fillId="0" borderId="22" xfId="19" applyBorder="1" applyAlignment="1">
      <alignment horizontal="center" vertical="center" textRotation="90" wrapText="1"/>
    </xf>
    <xf numFmtId="0" fontId="9" fillId="0" borderId="27" xfId="0" applyFont="1" applyBorder="1" applyAlignment="1">
      <alignment horizontal="left" vertical="center" wrapText="1"/>
    </xf>
    <xf numFmtId="0" fontId="54" fillId="3" borderId="24" xfId="0" applyFont="1" applyFill="1" applyBorder="1" applyAlignment="1">
      <alignment horizontal="center" vertical="center" wrapText="1"/>
    </xf>
    <xf numFmtId="2" fontId="6" fillId="9" borderId="26" xfId="0" applyNumberFormat="1" applyFont="1" applyFill="1" applyBorder="1" applyAlignment="1" applyProtection="1">
      <alignment horizontal="center" vertical="center" wrapText="1"/>
    </xf>
    <xf numFmtId="0" fontId="6" fillId="9" borderId="26" xfId="0" applyNumberFormat="1" applyFont="1" applyFill="1" applyBorder="1" applyAlignment="1" applyProtection="1">
      <alignment horizontal="center" vertical="center" wrapText="1"/>
    </xf>
    <xf numFmtId="0" fontId="6" fillId="9" borderId="26" xfId="0" quotePrefix="1" applyNumberFormat="1" applyFont="1" applyFill="1" applyBorder="1" applyAlignment="1" applyProtection="1">
      <alignment horizontal="center" vertical="center" wrapText="1"/>
    </xf>
    <xf numFmtId="2" fontId="6" fillId="9" borderId="25" xfId="0" applyNumberFormat="1" applyFont="1" applyFill="1" applyBorder="1" applyAlignment="1" applyProtection="1">
      <alignment horizontal="center" vertical="center" wrapText="1"/>
    </xf>
    <xf numFmtId="0" fontId="6" fillId="9" borderId="25" xfId="0" quotePrefix="1" applyNumberFormat="1" applyFont="1" applyFill="1" applyBorder="1" applyAlignment="1" applyProtection="1">
      <alignment horizontal="center" vertical="center" wrapText="1"/>
    </xf>
    <xf numFmtId="0" fontId="33" fillId="3" borderId="24" xfId="0" applyFont="1" applyFill="1" applyBorder="1" applyAlignment="1">
      <alignment horizontal="center" vertical="center" wrapText="1"/>
    </xf>
    <xf numFmtId="0" fontId="55" fillId="3" borderId="24" xfId="0" quotePrefix="1" applyFont="1" applyFill="1" applyBorder="1" applyAlignment="1">
      <alignment horizontal="center" vertical="center" wrapText="1"/>
    </xf>
    <xf numFmtId="0" fontId="55" fillId="3" borderId="24" xfId="0" applyFont="1" applyFill="1" applyBorder="1" applyAlignment="1">
      <alignment horizontal="center" vertical="center" wrapText="1"/>
    </xf>
    <xf numFmtId="0" fontId="56" fillId="3" borderId="24" xfId="0" applyFont="1" applyFill="1" applyBorder="1" applyAlignment="1">
      <alignment horizontal="center" vertical="center" wrapText="1"/>
    </xf>
    <xf numFmtId="0" fontId="6" fillId="9" borderId="25" xfId="0" applyNumberFormat="1" applyFont="1" applyFill="1" applyBorder="1" applyAlignment="1" applyProtection="1">
      <alignment horizontal="center" vertical="center" wrapText="1"/>
    </xf>
    <xf numFmtId="0" fontId="0" fillId="0" borderId="0" xfId="0" applyBorder="1" applyAlignment="1">
      <alignment horizontal="center" vertical="center" wrapText="1"/>
    </xf>
    <xf numFmtId="0" fontId="0" fillId="0" borderId="0" xfId="0" applyBorder="1" applyAlignment="1">
      <alignment vertical="center" wrapText="1"/>
    </xf>
    <xf numFmtId="0" fontId="0" fillId="9" borderId="26" xfId="0" applyFont="1" applyFill="1" applyBorder="1" applyAlignment="1" applyProtection="1">
      <alignment horizontal="center" vertical="center" wrapText="1"/>
    </xf>
    <xf numFmtId="0" fontId="0" fillId="9" borderId="26" xfId="0" applyFill="1" applyBorder="1" applyAlignment="1" applyProtection="1">
      <alignment horizontal="left" vertical="center" wrapText="1" indent="1"/>
    </xf>
    <xf numFmtId="0" fontId="0" fillId="9" borderId="26" xfId="0" applyFill="1" applyBorder="1" applyAlignment="1" applyProtection="1">
      <alignment horizontal="center" vertical="center" wrapText="1"/>
    </xf>
    <xf numFmtId="0" fontId="59" fillId="9" borderId="26" xfId="0" quotePrefix="1" applyFont="1" applyFill="1" applyBorder="1" applyAlignment="1" applyProtection="1">
      <alignment horizontal="center" vertical="center" wrapText="1"/>
    </xf>
    <xf numFmtId="0" fontId="60" fillId="9" borderId="26" xfId="0" applyFont="1" applyFill="1" applyBorder="1" applyAlignment="1" applyProtection="1">
      <alignment horizontal="center" vertical="center" wrapText="1"/>
    </xf>
    <xf numFmtId="0" fontId="8" fillId="9" borderId="25" xfId="0" applyFont="1" applyFill="1" applyBorder="1" applyAlignment="1" applyProtection="1">
      <alignment horizontal="left" vertical="center" wrapText="1"/>
    </xf>
    <xf numFmtId="0" fontId="8" fillId="9" borderId="26" xfId="0" applyFont="1" applyFill="1" applyBorder="1" applyAlignment="1" applyProtection="1">
      <alignment horizontal="left" vertical="center" wrapText="1"/>
    </xf>
    <xf numFmtId="0" fontId="0" fillId="9" borderId="25" xfId="0" applyFill="1" applyBorder="1" applyAlignment="1" applyProtection="1">
      <alignment horizontal="center" vertical="center" wrapText="1"/>
    </xf>
    <xf numFmtId="0" fontId="0" fillId="9" borderId="26" xfId="0" applyFill="1" applyBorder="1" applyAlignment="1" applyProtection="1">
      <alignment horizontal="left" vertical="center" wrapText="1"/>
    </xf>
    <xf numFmtId="0" fontId="57" fillId="0" borderId="0" xfId="0" applyFont="1" applyAlignment="1" applyProtection="1">
      <alignment horizontal="right" vertical="center" wrapText="1"/>
    </xf>
    <xf numFmtId="0" fontId="58" fillId="0" borderId="0" xfId="0" applyFont="1" applyAlignment="1" applyProtection="1">
      <alignment horizontal="right" vertical="center" wrapText="1"/>
    </xf>
    <xf numFmtId="0" fontId="59" fillId="9" borderId="26" xfId="0" applyFont="1" applyFill="1" applyBorder="1" applyAlignment="1" applyProtection="1">
      <alignment horizontal="center" vertical="center" wrapText="1"/>
    </xf>
  </cellXfs>
  <cellStyles count="24">
    <cellStyle name="Hiperligação" xfId="1" builtinId="8"/>
    <cellStyle name="Hiperligação 2" xfId="2"/>
    <cellStyle name="Hiperligação 2 2" xfId="3"/>
    <cellStyle name="Hiperligação 3" xfId="4"/>
    <cellStyle name="Hiperligação 4" xfId="5"/>
    <cellStyle name="Normal" xfId="0" builtinId="0"/>
    <cellStyle name="Normal 10" xfId="23"/>
    <cellStyle name="Normal 11" xfId="6"/>
    <cellStyle name="Normal 2" xfId="7"/>
    <cellStyle name="Normal 3" xfId="8"/>
    <cellStyle name="Normal 3 2" xfId="9"/>
    <cellStyle name="Normal 3 2 2" xfId="10"/>
    <cellStyle name="Normal 3 3" xfId="11"/>
    <cellStyle name="Normal 4" xfId="12"/>
    <cellStyle name="Normal 4 2" xfId="13"/>
    <cellStyle name="Normal 4 2 2" xfId="14"/>
    <cellStyle name="Normal 4 3" xfId="15"/>
    <cellStyle name="Normal 5" xfId="16"/>
    <cellStyle name="Normal 6" xfId="17"/>
    <cellStyle name="Normal 6 2" xfId="18"/>
    <cellStyle name="Normal 7" xfId="19"/>
    <cellStyle name="Normal 8" xfId="20"/>
    <cellStyle name="Normal 9" xfId="22"/>
    <cellStyle name="Normal_Folha1"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pandre\Ambiente%20de%20trabalho\TEIP_2013_14\plano%20de%20melhoria_2013_14\relatorioTEIP%202011_2012_draft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andre\Ambiente%20de%20trabalho\Relat&#243;rio%2011_12\pedido%20de%20relat&#243;rio\relatorioTEIP%202011_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ício"/>
      <sheetName val="0_Atualização de dados"/>
      <sheetName val="1_IAA"/>
      <sheetName val="2_Av I"/>
      <sheetName val="3_Av Ext"/>
      <sheetName val="4_Indisciplina"/>
      <sheetName val="5_Metas"/>
      <sheetName val="6_Classif Ações"/>
      <sheetName val="6_Classif Acções "/>
      <sheetName val="6_Classif Ações_PDF"/>
      <sheetName val="7_Ações_alcançaram metas"/>
      <sheetName val="8_Ações_não alcançaram metas"/>
      <sheetName val="9_Grau de satisfação"/>
      <sheetName val="10 e 11"/>
      <sheetName val="12_SWOT"/>
      <sheetName val="13_Comentários"/>
      <sheetName val="Folh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ício"/>
      <sheetName val="0_Atualização de dados"/>
      <sheetName val="1_IAA"/>
      <sheetName val="2_Av I"/>
      <sheetName val="3_Av Ext"/>
      <sheetName val="4_Indisciplina"/>
      <sheetName val="5_Metas"/>
      <sheetName val="6_Classif Ações"/>
      <sheetName val="6_Classif Ações_PDF"/>
      <sheetName val="7_Ações_alcançaram metas"/>
      <sheetName val="8_Ações_não alcançaram metas"/>
      <sheetName val="9_Grau de satisfação"/>
      <sheetName val="10 e 11"/>
      <sheetName val="12_SWOT"/>
      <sheetName val="13_Comentários"/>
      <sheetName val="Folh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dimension ref="A1:I26"/>
  <sheetViews>
    <sheetView showGridLines="0" workbookViewId="0">
      <selection activeCell="B4" sqref="B4:I4"/>
    </sheetView>
  </sheetViews>
  <sheetFormatPr defaultRowHeight="12.75" x14ac:dyDescent="0.2"/>
  <cols>
    <col min="1" max="1" width="3.7109375" style="169" customWidth="1"/>
    <col min="2" max="2" width="4.7109375" style="169" customWidth="1"/>
    <col min="3" max="5" width="15.140625" style="169" customWidth="1"/>
    <col min="6" max="6" width="14" style="169" customWidth="1"/>
    <col min="7" max="8" width="15.140625" style="169" customWidth="1"/>
    <col min="9" max="9" width="4.140625" style="169" customWidth="1"/>
  </cols>
  <sheetData>
    <row r="1" spans="1:9" s="12" customFormat="1" ht="49.5" customHeight="1" thickBot="1" x14ac:dyDescent="0.25">
      <c r="B1" s="234" t="s">
        <v>40</v>
      </c>
      <c r="C1" s="234"/>
      <c r="D1" s="234"/>
      <c r="E1" s="234"/>
      <c r="F1" s="234"/>
      <c r="G1" s="234"/>
      <c r="H1" s="234"/>
      <c r="I1" s="234"/>
    </row>
    <row r="2" spans="1:9" s="6" customFormat="1" ht="20.25" customHeight="1" thickTop="1" x14ac:dyDescent="0.2">
      <c r="B2" s="2"/>
      <c r="C2" s="2"/>
      <c r="D2" s="2"/>
      <c r="E2" s="2"/>
      <c r="F2" s="5"/>
      <c r="G2" s="5"/>
      <c r="H2" s="5"/>
      <c r="I2" s="5"/>
    </row>
    <row r="3" spans="1:9" s="169" customFormat="1" hidden="1" x14ac:dyDescent="0.2"/>
    <row r="4" spans="1:9" s="170" customFormat="1" ht="29.25" customHeight="1" x14ac:dyDescent="0.2">
      <c r="B4" s="228" t="s">
        <v>116</v>
      </c>
      <c r="C4" s="229"/>
      <c r="D4" s="229"/>
      <c r="E4" s="229"/>
      <c r="F4" s="229"/>
      <c r="G4" s="229"/>
      <c r="H4" s="229"/>
      <c r="I4" s="229"/>
    </row>
    <row r="5" spans="1:9" s="170" customFormat="1" ht="27" customHeight="1" x14ac:dyDescent="0.2">
      <c r="B5" s="171"/>
    </row>
    <row r="6" spans="1:9" s="170" customFormat="1" x14ac:dyDescent="0.2">
      <c r="B6" s="171"/>
      <c r="C6" s="172" t="s">
        <v>113</v>
      </c>
      <c r="H6" s="173" t="s">
        <v>126</v>
      </c>
    </row>
    <row r="7" spans="1:9" s="170" customFormat="1" ht="18.75" hidden="1" customHeight="1" x14ac:dyDescent="0.2">
      <c r="B7" s="171"/>
      <c r="C7" s="174">
        <v>55</v>
      </c>
      <c r="D7" s="175"/>
      <c r="E7" s="175"/>
      <c r="F7" s="175"/>
      <c r="G7" s="175"/>
      <c r="H7" s="176">
        <v>1804553</v>
      </c>
    </row>
    <row r="8" spans="1:9" s="170" customFormat="1" ht="19.5" customHeight="1" x14ac:dyDescent="0.2">
      <c r="B8" s="171"/>
      <c r="C8" s="174" t="s">
        <v>111</v>
      </c>
      <c r="D8" s="175"/>
      <c r="E8" s="175"/>
      <c r="F8" s="175"/>
      <c r="G8" s="175"/>
      <c r="H8" s="176">
        <v>1804553</v>
      </c>
    </row>
    <row r="9" spans="1:9" s="170" customFormat="1" ht="19.5" customHeight="1" x14ac:dyDescent="0.2">
      <c r="B9" s="171"/>
      <c r="C9" s="177"/>
      <c r="D9" s="177"/>
      <c r="E9" s="177"/>
      <c r="F9" s="177"/>
      <c r="G9" s="178"/>
      <c r="H9" s="179"/>
    </row>
    <row r="10" spans="1:9" s="180" customFormat="1" ht="48" customHeight="1" x14ac:dyDescent="0.2">
      <c r="C10" s="230" t="s">
        <v>121</v>
      </c>
      <c r="D10" s="231"/>
      <c r="E10" s="231"/>
      <c r="F10" s="231"/>
      <c r="G10" s="231"/>
      <c r="H10" s="231"/>
    </row>
    <row r="11" spans="1:9" s="170" customFormat="1" ht="96" customHeight="1" x14ac:dyDescent="0.2">
      <c r="C11" s="230" t="s">
        <v>124</v>
      </c>
      <c r="D11" s="232"/>
      <c r="E11" s="232"/>
      <c r="F11" s="232"/>
      <c r="G11" s="232"/>
      <c r="H11" s="232"/>
    </row>
    <row r="12" spans="1:9" s="170" customFormat="1" ht="40.5" customHeight="1" x14ac:dyDescent="0.2">
      <c r="A12" s="170" t="s">
        <v>114</v>
      </c>
      <c r="B12" s="171"/>
      <c r="C12" s="230" t="s">
        <v>122</v>
      </c>
      <c r="D12" s="232"/>
      <c r="E12" s="232"/>
      <c r="F12" s="232"/>
      <c r="G12" s="232"/>
      <c r="H12" s="232"/>
    </row>
    <row r="13" spans="1:9" s="170" customFormat="1" ht="20.25" customHeight="1" x14ac:dyDescent="0.2">
      <c r="A13" s="170" t="s">
        <v>114</v>
      </c>
      <c r="B13" s="171"/>
      <c r="C13" s="230" t="s">
        <v>123</v>
      </c>
      <c r="D13" s="232"/>
      <c r="E13" s="232"/>
      <c r="F13" s="232"/>
      <c r="G13" s="232"/>
      <c r="H13" s="232"/>
    </row>
    <row r="14" spans="1:9" s="170" customFormat="1" ht="119.25" customHeight="1" x14ac:dyDescent="0.2">
      <c r="A14" s="170" t="s">
        <v>114</v>
      </c>
      <c r="B14" s="171"/>
      <c r="C14" s="235" t="s">
        <v>127</v>
      </c>
      <c r="D14" s="232"/>
      <c r="E14" s="232"/>
      <c r="F14" s="232"/>
      <c r="G14" s="232"/>
      <c r="H14" s="232"/>
    </row>
    <row r="15" spans="1:9" s="170" customFormat="1" ht="13.5" customHeight="1" x14ac:dyDescent="0.2">
      <c r="B15" s="171"/>
      <c r="C15" s="181"/>
      <c r="D15" s="182"/>
      <c r="E15" s="182"/>
      <c r="F15" s="182"/>
      <c r="G15" s="182"/>
      <c r="H15" s="182"/>
    </row>
    <row r="16" spans="1:9" s="183" customFormat="1" ht="20.25" customHeight="1" thickBot="1" x14ac:dyDescent="0.25">
      <c r="C16" s="184" t="s">
        <v>115</v>
      </c>
      <c r="D16" s="185"/>
      <c r="E16" s="185"/>
      <c r="F16" s="185"/>
      <c r="G16" s="185"/>
      <c r="H16" s="185"/>
    </row>
    <row r="17" spans="1:9" s="6" customFormat="1" ht="9.75" customHeight="1" thickTop="1" x14ac:dyDescent="0.2">
      <c r="B17" s="186"/>
      <c r="C17" s="187"/>
      <c r="D17" s="187"/>
      <c r="E17" s="187"/>
      <c r="F17" s="187"/>
      <c r="G17" s="187"/>
      <c r="H17" s="187"/>
    </row>
    <row r="18" spans="1:9" s="170" customFormat="1" ht="12.75" customHeight="1" x14ac:dyDescent="0.2">
      <c r="B18" s="188"/>
      <c r="C18" s="233" t="s">
        <v>117</v>
      </c>
      <c r="D18" s="233"/>
      <c r="E18" s="233"/>
      <c r="F18" s="233"/>
      <c r="G18" s="233"/>
      <c r="H18" s="233"/>
      <c r="I18" s="233"/>
    </row>
    <row r="19" spans="1:9" s="170" customFormat="1" ht="5.25" customHeight="1" x14ac:dyDescent="0.2">
      <c r="B19" s="189"/>
      <c r="C19" s="190"/>
      <c r="D19" s="190"/>
      <c r="E19" s="190"/>
      <c r="F19" s="190"/>
      <c r="G19" s="190"/>
      <c r="H19" s="190"/>
      <c r="I19" s="190"/>
    </row>
    <row r="20" spans="1:9" s="170" customFormat="1" ht="12.75" customHeight="1" x14ac:dyDescent="0.2">
      <c r="A20" s="170" t="s">
        <v>114</v>
      </c>
      <c r="B20" s="188"/>
      <c r="C20" s="233" t="s">
        <v>118</v>
      </c>
      <c r="D20" s="233"/>
      <c r="E20" s="233"/>
      <c r="F20" s="233"/>
      <c r="G20" s="233"/>
      <c r="H20" s="233"/>
      <c r="I20" s="233"/>
    </row>
    <row r="21" spans="1:9" s="170" customFormat="1" ht="5.25" customHeight="1" x14ac:dyDescent="0.2">
      <c r="B21" s="189"/>
      <c r="C21" s="190"/>
      <c r="D21" s="190"/>
      <c r="E21" s="190"/>
      <c r="F21" s="190"/>
      <c r="G21" s="190"/>
      <c r="H21" s="190"/>
      <c r="I21" s="190"/>
    </row>
    <row r="22" spans="1:9" s="170" customFormat="1" ht="12.75" customHeight="1" x14ac:dyDescent="0.2">
      <c r="A22" s="170" t="s">
        <v>114</v>
      </c>
      <c r="B22" s="188"/>
      <c r="C22" s="233" t="s">
        <v>119</v>
      </c>
      <c r="D22" s="233"/>
      <c r="E22" s="233"/>
      <c r="F22" s="233"/>
      <c r="G22" s="233"/>
      <c r="H22" s="233"/>
      <c r="I22" s="233"/>
    </row>
    <row r="23" spans="1:9" s="170" customFormat="1" ht="5.25" customHeight="1" x14ac:dyDescent="0.2">
      <c r="B23" s="189"/>
      <c r="C23" s="190"/>
      <c r="D23" s="190"/>
      <c r="E23" s="190"/>
      <c r="F23" s="190"/>
      <c r="G23" s="190"/>
      <c r="H23" s="190"/>
      <c r="I23" s="190"/>
    </row>
    <row r="24" spans="1:9" s="170" customFormat="1" ht="12.75" customHeight="1" x14ac:dyDescent="0.2">
      <c r="B24" s="188"/>
      <c r="C24" s="227" t="s">
        <v>120</v>
      </c>
      <c r="D24" s="227"/>
      <c r="E24" s="227"/>
      <c r="F24" s="227"/>
      <c r="G24" s="227"/>
      <c r="H24" s="227"/>
      <c r="I24" s="227"/>
    </row>
    <row r="25" spans="1:9" s="170" customFormat="1" ht="5.25" customHeight="1" x14ac:dyDescent="0.2">
      <c r="B25" s="189"/>
      <c r="C25" s="190"/>
      <c r="D25" s="190"/>
      <c r="E25" s="190"/>
      <c r="F25" s="190"/>
      <c r="G25" s="190"/>
      <c r="H25" s="190"/>
      <c r="I25" s="190"/>
    </row>
    <row r="26" spans="1:9" s="170" customFormat="1" ht="12.75" customHeight="1" x14ac:dyDescent="0.2">
      <c r="B26" s="188"/>
      <c r="C26" s="227" t="s">
        <v>39</v>
      </c>
      <c r="D26" s="227"/>
      <c r="E26" s="227"/>
      <c r="F26" s="227"/>
      <c r="G26" s="227"/>
      <c r="H26" s="227"/>
      <c r="I26" s="227"/>
    </row>
  </sheetData>
  <sheetProtection password="DC9F" sheet="1"/>
  <mergeCells count="12">
    <mergeCell ref="B1:I1"/>
    <mergeCell ref="C12:H12"/>
    <mergeCell ref="C13:H13"/>
    <mergeCell ref="C14:H14"/>
    <mergeCell ref="C22:I22"/>
    <mergeCell ref="C24:I24"/>
    <mergeCell ref="C26:I26"/>
    <mergeCell ref="B4:I4"/>
    <mergeCell ref="C10:H10"/>
    <mergeCell ref="C11:H11"/>
    <mergeCell ref="C18:I18"/>
    <mergeCell ref="C20:I20"/>
  </mergeCells>
  <hyperlinks>
    <hyperlink ref="C24:I24" location="'Domínio 4'!A1" display="Domínio 4"/>
    <hyperlink ref="C26:I26" location="'Metas gerais TEIP'!A1" display="Metas Gerais TEIP"/>
    <hyperlink ref="C20:I20" location="'Domínio 2'!A1" display="Domínio 2"/>
    <hyperlink ref="C22:I22" location="'Domínio 3'!A1" display="Domínio 3"/>
    <hyperlink ref="C18:I18" location="'Domínio 1'!A1" display="Domínio 1"/>
  </hyperlink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3"/>
  <dimension ref="B1:AA82"/>
  <sheetViews>
    <sheetView showGridLines="0" topLeftCell="A2" zoomScaleNormal="100" workbookViewId="0">
      <selection activeCell="D47" sqref="D47"/>
    </sheetView>
  </sheetViews>
  <sheetFormatPr defaultRowHeight="15" x14ac:dyDescent="0.25"/>
  <cols>
    <col min="1" max="1" width="2.7109375" style="17" customWidth="1"/>
    <col min="2" max="2" width="7.85546875" style="17" customWidth="1"/>
    <col min="3" max="3" width="17.28515625" style="17" customWidth="1"/>
    <col min="4" max="11" width="11" style="17" customWidth="1"/>
    <col min="12" max="15" width="10.28515625" style="17" customWidth="1"/>
    <col min="16" max="27" width="10.28515625" style="17" hidden="1" customWidth="1"/>
    <col min="28" max="16384" width="9.140625" style="17"/>
  </cols>
  <sheetData>
    <row r="1" spans="2:21" s="191" customFormat="1" ht="33" customHeight="1" x14ac:dyDescent="0.2">
      <c r="B1" s="241" t="str">
        <f>IF(Início!C8&lt;&gt;"",Início!C8,"")</f>
        <v>Agrupamento de Escolas de Souselo</v>
      </c>
      <c r="C1" s="242"/>
      <c r="D1" s="242"/>
      <c r="E1" s="242"/>
      <c r="F1" s="242"/>
      <c r="G1" s="242"/>
      <c r="H1" s="242"/>
      <c r="I1" s="242"/>
      <c r="J1" s="242"/>
      <c r="K1" s="242"/>
      <c r="L1" s="242"/>
      <c r="M1" s="242"/>
      <c r="N1" s="242"/>
      <c r="O1" s="242"/>
    </row>
    <row r="2" spans="2:21" ht="36.75" customHeight="1" x14ac:dyDescent="0.35">
      <c r="B2" s="249" t="s">
        <v>41</v>
      </c>
      <c r="C2" s="249"/>
      <c r="D2" s="249"/>
      <c r="E2" s="249"/>
      <c r="F2" s="249"/>
      <c r="G2" s="249"/>
      <c r="H2" s="249"/>
      <c r="I2" s="249"/>
      <c r="J2" s="249"/>
      <c r="K2" s="249"/>
      <c r="L2" s="249"/>
      <c r="M2" s="249"/>
      <c r="N2" s="250"/>
      <c r="O2" s="250"/>
      <c r="P2" s="166">
        <f>IF(Início!H8&lt;&gt;"",Início!H8,"")</f>
        <v>1804553</v>
      </c>
    </row>
    <row r="3" spans="2:21" ht="21" customHeight="1" x14ac:dyDescent="0.25">
      <c r="O3" s="196" t="s">
        <v>125</v>
      </c>
    </row>
    <row r="4" spans="2:21" s="16" customFormat="1" ht="19.5" customHeight="1" x14ac:dyDescent="0.2">
      <c r="B4" s="243" t="s">
        <v>43</v>
      </c>
      <c r="C4" s="18"/>
      <c r="D4" s="236" t="s">
        <v>57</v>
      </c>
      <c r="E4" s="239"/>
      <c r="F4" s="239"/>
      <c r="G4" s="239"/>
      <c r="H4" s="240"/>
      <c r="I4" s="246" t="s">
        <v>109</v>
      </c>
      <c r="J4" s="236" t="s">
        <v>93</v>
      </c>
      <c r="K4" s="237"/>
      <c r="L4" s="238"/>
      <c r="M4" s="236" t="s">
        <v>58</v>
      </c>
      <c r="N4" s="237"/>
      <c r="O4" s="238"/>
    </row>
    <row r="5" spans="2:21" s="20" customFormat="1" ht="74.25" customHeight="1" x14ac:dyDescent="0.2">
      <c r="B5" s="248"/>
      <c r="C5" s="19" t="s">
        <v>44</v>
      </c>
      <c r="D5" s="19" t="s">
        <v>45</v>
      </c>
      <c r="E5" s="19" t="s">
        <v>46</v>
      </c>
      <c r="F5" s="19" t="s">
        <v>47</v>
      </c>
      <c r="G5" s="19" t="s">
        <v>48</v>
      </c>
      <c r="H5" s="19" t="s">
        <v>49</v>
      </c>
      <c r="I5" s="247"/>
      <c r="J5" s="194" t="s">
        <v>50</v>
      </c>
      <c r="K5" s="194" t="s">
        <v>51</v>
      </c>
      <c r="L5" s="195" t="s">
        <v>52</v>
      </c>
      <c r="M5" s="194" t="s">
        <v>50</v>
      </c>
      <c r="N5" s="194" t="s">
        <v>51</v>
      </c>
      <c r="O5" s="195" t="s">
        <v>52</v>
      </c>
    </row>
    <row r="6" spans="2:21" s="20" customFormat="1" ht="19.5" hidden="1" customHeight="1" x14ac:dyDescent="0.2">
      <c r="B6" s="248"/>
      <c r="C6" s="63" t="s">
        <v>42</v>
      </c>
      <c r="D6" s="71"/>
      <c r="E6" s="71"/>
      <c r="F6" s="71"/>
      <c r="G6" s="71"/>
      <c r="H6" s="71"/>
      <c r="I6" s="71"/>
      <c r="J6" s="72"/>
      <c r="K6" s="72"/>
      <c r="L6" s="72"/>
      <c r="M6" s="72"/>
      <c r="N6" s="72"/>
      <c r="O6" s="73"/>
    </row>
    <row r="7" spans="2:21" s="16" customFormat="1" ht="18" hidden="1" customHeight="1" x14ac:dyDescent="0.2">
      <c r="B7" s="248"/>
      <c r="C7" s="65" t="s">
        <v>53</v>
      </c>
      <c r="D7" s="154"/>
      <c r="E7" s="154"/>
      <c r="F7" s="154"/>
      <c r="G7" s="154"/>
      <c r="H7" s="154"/>
      <c r="I7" s="123" t="str">
        <f>IF(COUNT(D7:H7)&gt;0,SUM(D7:H7),"")</f>
        <v/>
      </c>
      <c r="J7" s="66" t="str">
        <f t="shared" ref="J7:J13" si="0">IF(SUM(D7:H7)&gt;0,SUM(D7:F7)/SUM(D7:H7),"")</f>
        <v/>
      </c>
      <c r="K7" s="67"/>
      <c r="L7" s="68" t="str">
        <f>IF(K7&lt;&gt;"",IF(J7&lt;&gt;"",J7-K7,""),"")</f>
        <v/>
      </c>
      <c r="M7" s="69" t="str">
        <f t="shared" ref="M7:M13" si="1">IF(SUM(D7:H7)&gt;0,(IF(D7&lt;&gt;"",D7,0)*5+IF(E7&lt;&gt;"",E7,0)*4+IF(F7&lt;&gt;"",F7,0)*3+IF(G7&lt;&gt;"",G7,0)*2+IF(H7&lt;&gt;"",H7,0)*1)/SUM(D7:H7),"")</f>
        <v/>
      </c>
      <c r="N7" s="69"/>
      <c r="O7" s="70" t="str">
        <f>IF(N7&lt;&gt;"",IF(M7&lt;&gt;"",M7-N7,""),"")</f>
        <v/>
      </c>
      <c r="Q7" s="16">
        <v>5</v>
      </c>
      <c r="R7" s="16">
        <v>6</v>
      </c>
      <c r="S7" s="16">
        <v>7</v>
      </c>
      <c r="T7" s="16">
        <v>8</v>
      </c>
      <c r="U7" s="16">
        <v>9</v>
      </c>
    </row>
    <row r="8" spans="2:21" s="16" customFormat="1" ht="18" hidden="1" customHeight="1" x14ac:dyDescent="0.2">
      <c r="B8" s="248"/>
      <c r="C8" s="26" t="s">
        <v>54</v>
      </c>
      <c r="D8" s="154"/>
      <c r="E8" s="154"/>
      <c r="F8" s="154"/>
      <c r="G8" s="154"/>
      <c r="H8" s="154"/>
      <c r="I8" s="124" t="str">
        <f t="shared" ref="I8:I13" si="2">IF(COUNT(D8:H8)&gt;0,SUM(D8:H8),"")</f>
        <v/>
      </c>
      <c r="J8" s="27" t="str">
        <f t="shared" si="0"/>
        <v/>
      </c>
      <c r="K8" s="22"/>
      <c r="L8" s="68" t="str">
        <f t="shared" ref="L8:L13" si="3">IF(K8&lt;&gt;"",IF(J8&lt;&gt;"",J8-K8,""),"")</f>
        <v/>
      </c>
      <c r="M8" s="24" t="str">
        <f t="shared" si="1"/>
        <v/>
      </c>
      <c r="N8" s="24"/>
      <c r="O8" s="70" t="str">
        <f t="shared" ref="O8:O13" si="4">IF(N8&lt;&gt;"",IF(M8&lt;&gt;"",M8-N8,""),"")</f>
        <v/>
      </c>
      <c r="Q8" s="16">
        <v>10</v>
      </c>
      <c r="R8" s="16">
        <v>11</v>
      </c>
      <c r="S8" s="16">
        <v>12</v>
      </c>
      <c r="T8" s="16">
        <v>13</v>
      </c>
      <c r="U8" s="16">
        <v>14</v>
      </c>
    </row>
    <row r="9" spans="2:21" s="16" customFormat="1" ht="18" hidden="1" customHeight="1" x14ac:dyDescent="0.2">
      <c r="B9" s="248"/>
      <c r="C9" s="26" t="s">
        <v>94</v>
      </c>
      <c r="D9" s="154"/>
      <c r="E9" s="154"/>
      <c r="F9" s="154"/>
      <c r="G9" s="154"/>
      <c r="H9" s="154"/>
      <c r="I9" s="125" t="str">
        <f t="shared" si="2"/>
        <v/>
      </c>
      <c r="J9" s="27" t="str">
        <f t="shared" si="0"/>
        <v/>
      </c>
      <c r="K9" s="22"/>
      <c r="L9" s="68" t="str">
        <f t="shared" si="3"/>
        <v/>
      </c>
      <c r="M9" s="74" t="str">
        <f t="shared" si="1"/>
        <v/>
      </c>
      <c r="N9" s="24"/>
      <c r="O9" s="70" t="str">
        <f t="shared" si="4"/>
        <v/>
      </c>
      <c r="Q9" s="16">
        <v>15</v>
      </c>
      <c r="R9" s="16">
        <v>16</v>
      </c>
      <c r="S9" s="16">
        <v>17</v>
      </c>
      <c r="T9" s="16">
        <v>18</v>
      </c>
      <c r="U9" s="16">
        <v>19</v>
      </c>
    </row>
    <row r="10" spans="2:21" s="16" customFormat="1" ht="18" hidden="1" customHeight="1" x14ac:dyDescent="0.2">
      <c r="B10" s="248"/>
      <c r="C10" s="26" t="s">
        <v>95</v>
      </c>
      <c r="D10" s="206"/>
      <c r="E10" s="206"/>
      <c r="F10" s="206"/>
      <c r="G10" s="206"/>
      <c r="H10" s="206"/>
      <c r="I10" s="125" t="str">
        <f t="shared" si="2"/>
        <v/>
      </c>
      <c r="J10" s="27" t="str">
        <f t="shared" si="0"/>
        <v/>
      </c>
      <c r="K10" s="201"/>
      <c r="L10" s="205" t="str">
        <f t="shared" si="3"/>
        <v/>
      </c>
      <c r="M10" s="203" t="str">
        <f t="shared" si="1"/>
        <v/>
      </c>
      <c r="N10" s="204"/>
      <c r="O10" s="70" t="str">
        <f t="shared" si="4"/>
        <v/>
      </c>
      <c r="Q10" s="16">
        <v>20</v>
      </c>
      <c r="R10" s="16">
        <v>21</v>
      </c>
      <c r="S10" s="16">
        <v>22</v>
      </c>
      <c r="T10" s="16">
        <v>23</v>
      </c>
      <c r="U10" s="16">
        <v>24</v>
      </c>
    </row>
    <row r="11" spans="2:21" s="16" customFormat="1" ht="18" hidden="1" customHeight="1" x14ac:dyDescent="0.2">
      <c r="B11" s="248"/>
      <c r="C11" s="26" t="s">
        <v>96</v>
      </c>
      <c r="D11" s="116"/>
      <c r="E11" s="116"/>
      <c r="F11" s="116"/>
      <c r="G11" s="116"/>
      <c r="H11" s="116"/>
      <c r="I11" s="125" t="str">
        <f t="shared" si="2"/>
        <v/>
      </c>
      <c r="J11" s="27" t="str">
        <f t="shared" si="0"/>
        <v/>
      </c>
      <c r="K11" s="155"/>
      <c r="L11" s="68" t="str">
        <f t="shared" si="3"/>
        <v/>
      </c>
      <c r="M11" s="74" t="str">
        <f t="shared" si="1"/>
        <v/>
      </c>
      <c r="N11" s="157"/>
      <c r="O11" s="70" t="str">
        <f t="shared" si="4"/>
        <v/>
      </c>
    </row>
    <row r="12" spans="2:21" s="16" customFormat="1" ht="18" hidden="1" customHeight="1" x14ac:dyDescent="0.2">
      <c r="B12" s="248"/>
      <c r="C12" s="26" t="s">
        <v>97</v>
      </c>
      <c r="D12" s="116"/>
      <c r="E12" s="116"/>
      <c r="F12" s="116"/>
      <c r="G12" s="116"/>
      <c r="H12" s="116"/>
      <c r="I12" s="125" t="str">
        <f t="shared" si="2"/>
        <v/>
      </c>
      <c r="J12" s="27" t="str">
        <f t="shared" si="0"/>
        <v/>
      </c>
      <c r="K12" s="155"/>
      <c r="L12" s="68" t="str">
        <f t="shared" si="3"/>
        <v/>
      </c>
      <c r="M12" s="74" t="str">
        <f t="shared" si="1"/>
        <v/>
      </c>
      <c r="N12" s="157"/>
      <c r="O12" s="70" t="str">
        <f t="shared" si="4"/>
        <v/>
      </c>
    </row>
    <row r="13" spans="2:21" s="16" customFormat="1" ht="18" hidden="1" customHeight="1" x14ac:dyDescent="0.2">
      <c r="B13" s="248"/>
      <c r="C13" s="26" t="s">
        <v>98</v>
      </c>
      <c r="D13" s="116"/>
      <c r="E13" s="116"/>
      <c r="F13" s="116"/>
      <c r="G13" s="116"/>
      <c r="H13" s="116"/>
      <c r="I13" s="125" t="str">
        <f t="shared" si="2"/>
        <v/>
      </c>
      <c r="J13" s="27" t="str">
        <f t="shared" si="0"/>
        <v/>
      </c>
      <c r="K13" s="155"/>
      <c r="L13" s="28" t="str">
        <f t="shared" si="3"/>
        <v/>
      </c>
      <c r="M13" s="74" t="str">
        <f t="shared" si="1"/>
        <v/>
      </c>
      <c r="N13" s="157"/>
      <c r="O13" s="29" t="str">
        <f t="shared" si="4"/>
        <v/>
      </c>
    </row>
    <row r="14" spans="2:21" s="16" customFormat="1" ht="18" hidden="1" customHeight="1" x14ac:dyDescent="0.2">
      <c r="B14" s="248"/>
      <c r="C14" s="30" t="s">
        <v>108</v>
      </c>
      <c r="D14" s="117"/>
      <c r="E14" s="117"/>
      <c r="F14" s="117"/>
      <c r="G14" s="117"/>
      <c r="H14" s="117"/>
      <c r="I14" s="126" t="str">
        <f>IF(COUNT(D14:H14)&gt;0,SUM(D14:H14),"")</f>
        <v/>
      </c>
      <c r="J14" s="31" t="str">
        <f>IF(SUM(D14:H14)&gt;0,SUM(D14:F14)/SUM(D14:H14),"")</f>
        <v/>
      </c>
      <c r="K14" s="156"/>
      <c r="L14" s="32" t="str">
        <f t="shared" ref="L14:L23" si="5">IF(K14&lt;&gt;"",IF(J14&lt;&gt;"",J14-K14,""),"")</f>
        <v/>
      </c>
      <c r="M14" s="33" t="str">
        <f t="shared" ref="M14:M23" si="6">IF(SUM(D14:H14)&gt;0,(IF(D14&lt;&gt;"",D14,0)*5+IF(E14&lt;&gt;"",E14,0)*4+IF(F14&lt;&gt;"",F14,0)*3+IF(G14&lt;&gt;"",G14,0)*2+IF(H14&lt;&gt;"",H14,0)*1)/SUM(D14:H14),"")</f>
        <v/>
      </c>
      <c r="N14" s="158"/>
      <c r="O14" s="34" t="str">
        <f t="shared" ref="O14:O23" si="7">IF(N14&lt;&gt;"",IF(M14&lt;&gt;"",M14-N14,""),"")</f>
        <v/>
      </c>
    </row>
    <row r="15" spans="2:21" s="20" customFormat="1" ht="19.5" hidden="1" customHeight="1" x14ac:dyDescent="0.2">
      <c r="B15" s="248"/>
      <c r="C15" s="63" t="s">
        <v>55</v>
      </c>
      <c r="D15" s="75"/>
      <c r="E15" s="75"/>
      <c r="F15" s="75"/>
      <c r="G15" s="75"/>
      <c r="H15" s="75"/>
      <c r="I15" s="75"/>
      <c r="J15" s="76"/>
      <c r="K15" s="76"/>
      <c r="L15" s="76"/>
      <c r="M15" s="76"/>
      <c r="N15" s="76"/>
      <c r="O15" s="77"/>
    </row>
    <row r="16" spans="2:21" s="16" customFormat="1" ht="18" hidden="1" customHeight="1" x14ac:dyDescent="0.2">
      <c r="B16" s="248"/>
      <c r="C16" s="65" t="s">
        <v>53</v>
      </c>
      <c r="D16" s="154"/>
      <c r="E16" s="154"/>
      <c r="F16" s="154"/>
      <c r="G16" s="154"/>
      <c r="H16" s="154"/>
      <c r="I16" s="123" t="str">
        <f>IF(COUNT(D16:H16)&gt;0,SUM(D16:H16),"")</f>
        <v/>
      </c>
      <c r="J16" s="66" t="str">
        <f t="shared" ref="J16:J22" si="8">IF(SUM(D16:H16)&gt;0,SUM(D16:F16)/SUM(D16:H16),"")</f>
        <v/>
      </c>
      <c r="K16" s="67"/>
      <c r="L16" s="68" t="str">
        <f t="shared" si="5"/>
        <v/>
      </c>
      <c r="M16" s="69" t="str">
        <f t="shared" si="6"/>
        <v/>
      </c>
      <c r="N16" s="69"/>
      <c r="O16" s="70" t="str">
        <f t="shared" si="7"/>
        <v/>
      </c>
      <c r="Q16" s="16">
        <v>25</v>
      </c>
      <c r="R16" s="16">
        <v>26</v>
      </c>
      <c r="S16" s="16">
        <v>27</v>
      </c>
      <c r="T16" s="16">
        <v>28</v>
      </c>
      <c r="U16" s="16">
        <v>29</v>
      </c>
    </row>
    <row r="17" spans="2:21" s="16" customFormat="1" ht="18" hidden="1" customHeight="1" x14ac:dyDescent="0.2">
      <c r="B17" s="248"/>
      <c r="C17" s="26" t="s">
        <v>54</v>
      </c>
      <c r="D17" s="154"/>
      <c r="E17" s="154"/>
      <c r="F17" s="154"/>
      <c r="G17" s="154"/>
      <c r="H17" s="154"/>
      <c r="I17" s="124" t="str">
        <f t="shared" ref="I17:I23" si="9">IF(COUNT(D17:H17)&gt;0,SUM(D17:H17),"")</f>
        <v/>
      </c>
      <c r="J17" s="27" t="str">
        <f t="shared" si="8"/>
        <v/>
      </c>
      <c r="K17" s="22"/>
      <c r="L17" s="28" t="str">
        <f t="shared" si="5"/>
        <v/>
      </c>
      <c r="M17" s="24" t="str">
        <f t="shared" si="6"/>
        <v/>
      </c>
      <c r="N17" s="24"/>
      <c r="O17" s="29" t="str">
        <f t="shared" si="7"/>
        <v/>
      </c>
      <c r="Q17" s="16">
        <v>30</v>
      </c>
      <c r="R17" s="16">
        <v>31</v>
      </c>
      <c r="S17" s="16">
        <v>32</v>
      </c>
      <c r="T17" s="16">
        <v>33</v>
      </c>
      <c r="U17" s="16">
        <v>34</v>
      </c>
    </row>
    <row r="18" spans="2:21" s="16" customFormat="1" ht="18" hidden="1" customHeight="1" x14ac:dyDescent="0.2">
      <c r="B18" s="248"/>
      <c r="C18" s="26" t="s">
        <v>94</v>
      </c>
      <c r="D18" s="154"/>
      <c r="E18" s="154"/>
      <c r="F18" s="154"/>
      <c r="G18" s="154"/>
      <c r="H18" s="154"/>
      <c r="I18" s="125" t="str">
        <f t="shared" si="9"/>
        <v/>
      </c>
      <c r="J18" s="27" t="str">
        <f t="shared" si="8"/>
        <v/>
      </c>
      <c r="K18" s="22"/>
      <c r="L18" s="28" t="str">
        <f t="shared" si="5"/>
        <v/>
      </c>
      <c r="M18" s="74" t="str">
        <f t="shared" si="6"/>
        <v/>
      </c>
      <c r="N18" s="24"/>
      <c r="O18" s="29" t="str">
        <f t="shared" si="7"/>
        <v/>
      </c>
      <c r="Q18" s="16">
        <v>35</v>
      </c>
      <c r="R18" s="16">
        <v>36</v>
      </c>
      <c r="S18" s="16">
        <v>37</v>
      </c>
      <c r="T18" s="16">
        <v>38</v>
      </c>
      <c r="U18" s="16">
        <v>39</v>
      </c>
    </row>
    <row r="19" spans="2:21" s="16" customFormat="1" ht="18" hidden="1" customHeight="1" x14ac:dyDescent="0.2">
      <c r="B19" s="248"/>
      <c r="C19" s="26" t="s">
        <v>95</v>
      </c>
      <c r="D19" s="206"/>
      <c r="E19" s="206"/>
      <c r="F19" s="206"/>
      <c r="G19" s="206"/>
      <c r="H19" s="206"/>
      <c r="I19" s="125" t="str">
        <f t="shared" si="9"/>
        <v/>
      </c>
      <c r="J19" s="27" t="str">
        <f t="shared" si="8"/>
        <v/>
      </c>
      <c r="K19" s="201"/>
      <c r="L19" s="202" t="str">
        <f t="shared" si="5"/>
        <v/>
      </c>
      <c r="M19" s="203" t="str">
        <f t="shared" si="6"/>
        <v/>
      </c>
      <c r="N19" s="204"/>
      <c r="O19" s="29" t="str">
        <f t="shared" si="7"/>
        <v/>
      </c>
      <c r="Q19" s="16">
        <v>40</v>
      </c>
      <c r="R19" s="16">
        <v>41</v>
      </c>
      <c r="S19" s="16">
        <v>42</v>
      </c>
      <c r="T19" s="16">
        <v>43</v>
      </c>
      <c r="U19" s="16">
        <v>44</v>
      </c>
    </row>
    <row r="20" spans="2:21" s="16" customFormat="1" ht="18" hidden="1" customHeight="1" x14ac:dyDescent="0.2">
      <c r="B20" s="248"/>
      <c r="C20" s="26" t="s">
        <v>96</v>
      </c>
      <c r="D20" s="116"/>
      <c r="E20" s="116"/>
      <c r="F20" s="116"/>
      <c r="G20" s="116"/>
      <c r="H20" s="116"/>
      <c r="I20" s="125" t="str">
        <f t="shared" si="9"/>
        <v/>
      </c>
      <c r="J20" s="27" t="str">
        <f t="shared" si="8"/>
        <v/>
      </c>
      <c r="K20" s="155"/>
      <c r="L20" s="28" t="str">
        <f t="shared" si="5"/>
        <v/>
      </c>
      <c r="M20" s="74" t="str">
        <f t="shared" si="6"/>
        <v/>
      </c>
      <c r="N20" s="157"/>
      <c r="O20" s="29" t="str">
        <f t="shared" si="7"/>
        <v/>
      </c>
    </row>
    <row r="21" spans="2:21" s="16" customFormat="1" ht="18" hidden="1" customHeight="1" x14ac:dyDescent="0.2">
      <c r="B21" s="248"/>
      <c r="C21" s="26" t="s">
        <v>97</v>
      </c>
      <c r="D21" s="116"/>
      <c r="E21" s="116"/>
      <c r="F21" s="116"/>
      <c r="G21" s="116"/>
      <c r="H21" s="116"/>
      <c r="I21" s="125" t="str">
        <f t="shared" si="9"/>
        <v/>
      </c>
      <c r="J21" s="27" t="str">
        <f t="shared" si="8"/>
        <v/>
      </c>
      <c r="K21" s="155"/>
      <c r="L21" s="28" t="str">
        <f t="shared" si="5"/>
        <v/>
      </c>
      <c r="M21" s="74" t="str">
        <f t="shared" si="6"/>
        <v/>
      </c>
      <c r="N21" s="157"/>
      <c r="O21" s="29" t="str">
        <f t="shared" si="7"/>
        <v/>
      </c>
    </row>
    <row r="22" spans="2:21" s="16" customFormat="1" ht="18" hidden="1" customHeight="1" x14ac:dyDescent="0.2">
      <c r="B22" s="248"/>
      <c r="C22" s="26" t="s">
        <v>98</v>
      </c>
      <c r="D22" s="116"/>
      <c r="E22" s="116"/>
      <c r="F22" s="116"/>
      <c r="G22" s="116"/>
      <c r="H22" s="116"/>
      <c r="I22" s="125" t="str">
        <f t="shared" si="9"/>
        <v/>
      </c>
      <c r="J22" s="27" t="str">
        <f t="shared" si="8"/>
        <v/>
      </c>
      <c r="K22" s="155"/>
      <c r="L22" s="28" t="str">
        <f t="shared" si="5"/>
        <v/>
      </c>
      <c r="M22" s="74" t="str">
        <f t="shared" si="6"/>
        <v/>
      </c>
      <c r="N22" s="157"/>
      <c r="O22" s="29" t="str">
        <f t="shared" si="7"/>
        <v/>
      </c>
    </row>
    <row r="23" spans="2:21" s="16" customFormat="1" ht="18" hidden="1" customHeight="1" x14ac:dyDescent="0.2">
      <c r="B23" s="248"/>
      <c r="C23" s="30" t="s">
        <v>108</v>
      </c>
      <c r="D23" s="117"/>
      <c r="E23" s="117"/>
      <c r="F23" s="117"/>
      <c r="G23" s="117"/>
      <c r="H23" s="117"/>
      <c r="I23" s="126" t="str">
        <f t="shared" si="9"/>
        <v/>
      </c>
      <c r="J23" s="31" t="str">
        <f>IF(SUM(D23:H23)&gt;0,SUM(D23:F23)/SUM(D23:H23),"")</f>
        <v/>
      </c>
      <c r="K23" s="156"/>
      <c r="L23" s="32" t="str">
        <f t="shared" si="5"/>
        <v/>
      </c>
      <c r="M23" s="33" t="str">
        <f t="shared" si="6"/>
        <v/>
      </c>
      <c r="N23" s="158"/>
      <c r="O23" s="34" t="str">
        <f t="shared" si="7"/>
        <v/>
      </c>
    </row>
    <row r="24" spans="2:21" s="20" customFormat="1" ht="19.5" hidden="1" customHeight="1" x14ac:dyDescent="0.2">
      <c r="B24" s="248"/>
      <c r="C24" s="63" t="s">
        <v>56</v>
      </c>
      <c r="D24" s="71"/>
      <c r="E24" s="71"/>
      <c r="F24" s="71"/>
      <c r="G24" s="71"/>
      <c r="H24" s="71"/>
      <c r="I24" s="71"/>
      <c r="J24" s="72"/>
      <c r="K24" s="72"/>
      <c r="L24" s="72"/>
      <c r="M24" s="72"/>
      <c r="N24" s="72"/>
      <c r="O24" s="73"/>
    </row>
    <row r="25" spans="2:21" s="16" customFormat="1" ht="18" hidden="1" customHeight="1" x14ac:dyDescent="0.2">
      <c r="B25" s="248"/>
      <c r="C25" s="65" t="s">
        <v>53</v>
      </c>
      <c r="D25" s="154"/>
      <c r="E25" s="154"/>
      <c r="F25" s="154"/>
      <c r="G25" s="154"/>
      <c r="H25" s="154"/>
      <c r="I25" s="123" t="str">
        <f>IF(COUNT(D25:H25)&gt;0,SUM(D25:H25),"")</f>
        <v/>
      </c>
      <c r="J25" s="66" t="str">
        <f t="shared" ref="J25:J32" si="10">IF(SUM(D25:H25)&gt;0,SUM(D25:F25)/SUM(D25:H25),"")</f>
        <v/>
      </c>
      <c r="K25" s="67"/>
      <c r="L25" s="68" t="str">
        <f t="shared" ref="L25:L32" si="11">IF(K25&lt;&gt;"",IF(J25&lt;&gt;"",J25-K25,""),"")</f>
        <v/>
      </c>
      <c r="M25" s="69" t="str">
        <f t="shared" ref="M25:M32" si="12">IF(SUM(D25:H25)&gt;0,(IF(D25&lt;&gt;"",D25,0)*5+IF(E25&lt;&gt;"",E25,0)*4+IF(F25&lt;&gt;"",F25,0)*3+IF(G25&lt;&gt;"",G25,0)*2+IF(H25&lt;&gt;"",H25,0)*1)/SUM(D25:H25),"")</f>
        <v/>
      </c>
      <c r="N25" s="69"/>
      <c r="O25" s="70" t="str">
        <f t="shared" ref="O25:O32" si="13">IF(N25&lt;&gt;"",IF(M25&lt;&gt;"",M25-N25,""),"")</f>
        <v/>
      </c>
      <c r="Q25" s="16">
        <v>5</v>
      </c>
      <c r="R25" s="16">
        <v>6</v>
      </c>
      <c r="S25" s="16">
        <v>7</v>
      </c>
      <c r="T25" s="16">
        <v>8</v>
      </c>
      <c r="U25" s="16">
        <v>9</v>
      </c>
    </row>
    <row r="26" spans="2:21" s="16" customFormat="1" ht="18" hidden="1" customHeight="1" x14ac:dyDescent="0.2">
      <c r="B26" s="248"/>
      <c r="C26" s="26" t="s">
        <v>54</v>
      </c>
      <c r="D26" s="154"/>
      <c r="E26" s="154"/>
      <c r="F26" s="154"/>
      <c r="G26" s="154"/>
      <c r="H26" s="154"/>
      <c r="I26" s="124" t="str">
        <f t="shared" ref="I26:I32" si="14">IF(COUNT(D26:H26)&gt;0,SUM(D26:H26),"")</f>
        <v/>
      </c>
      <c r="J26" s="27" t="str">
        <f t="shared" si="10"/>
        <v/>
      </c>
      <c r="K26" s="22"/>
      <c r="L26" s="28" t="str">
        <f t="shared" si="11"/>
        <v/>
      </c>
      <c r="M26" s="24" t="str">
        <f t="shared" si="12"/>
        <v/>
      </c>
      <c r="N26" s="24"/>
      <c r="O26" s="29" t="str">
        <f t="shared" si="13"/>
        <v/>
      </c>
      <c r="Q26" s="16">
        <v>10</v>
      </c>
      <c r="R26" s="16">
        <v>11</v>
      </c>
      <c r="S26" s="16">
        <v>12</v>
      </c>
      <c r="T26" s="16">
        <v>13</v>
      </c>
      <c r="U26" s="16">
        <v>14</v>
      </c>
    </row>
    <row r="27" spans="2:21" s="16" customFormat="1" ht="18" hidden="1" customHeight="1" x14ac:dyDescent="0.2">
      <c r="B27" s="248"/>
      <c r="C27" s="26" t="s">
        <v>94</v>
      </c>
      <c r="D27" s="154"/>
      <c r="E27" s="154"/>
      <c r="F27" s="154"/>
      <c r="G27" s="154"/>
      <c r="H27" s="154"/>
      <c r="I27" s="125" t="str">
        <f t="shared" si="14"/>
        <v/>
      </c>
      <c r="J27" s="27" t="str">
        <f t="shared" si="10"/>
        <v/>
      </c>
      <c r="K27" s="22"/>
      <c r="L27" s="28" t="str">
        <f t="shared" si="11"/>
        <v/>
      </c>
      <c r="M27" s="74" t="str">
        <f t="shared" si="12"/>
        <v/>
      </c>
      <c r="N27" s="24"/>
      <c r="O27" s="29" t="str">
        <f t="shared" si="13"/>
        <v/>
      </c>
      <c r="Q27" s="16">
        <v>15</v>
      </c>
      <c r="R27" s="16">
        <v>16</v>
      </c>
      <c r="S27" s="16">
        <v>17</v>
      </c>
      <c r="T27" s="16">
        <v>18</v>
      </c>
      <c r="U27" s="16">
        <v>19</v>
      </c>
    </row>
    <row r="28" spans="2:21" s="16" customFormat="1" ht="18" hidden="1" customHeight="1" x14ac:dyDescent="0.2">
      <c r="B28" s="248"/>
      <c r="C28" s="26" t="s">
        <v>95</v>
      </c>
      <c r="D28" s="206"/>
      <c r="E28" s="206"/>
      <c r="F28" s="206"/>
      <c r="G28" s="206"/>
      <c r="H28" s="206"/>
      <c r="I28" s="125" t="str">
        <f t="shared" si="14"/>
        <v/>
      </c>
      <c r="J28" s="27" t="str">
        <f t="shared" si="10"/>
        <v/>
      </c>
      <c r="K28" s="201"/>
      <c r="L28" s="202" t="str">
        <f t="shared" si="11"/>
        <v/>
      </c>
      <c r="M28" s="203" t="str">
        <f t="shared" si="12"/>
        <v/>
      </c>
      <c r="N28" s="204"/>
      <c r="O28" s="29" t="str">
        <f t="shared" si="13"/>
        <v/>
      </c>
      <c r="Q28" s="16">
        <v>20</v>
      </c>
      <c r="R28" s="16">
        <v>21</v>
      </c>
      <c r="S28" s="16">
        <v>22</v>
      </c>
      <c r="T28" s="16">
        <v>23</v>
      </c>
      <c r="U28" s="16">
        <v>24</v>
      </c>
    </row>
    <row r="29" spans="2:21" s="16" customFormat="1" ht="18" hidden="1" customHeight="1" x14ac:dyDescent="0.2">
      <c r="B29" s="248"/>
      <c r="C29" s="26" t="s">
        <v>96</v>
      </c>
      <c r="D29" s="116"/>
      <c r="E29" s="116"/>
      <c r="F29" s="116"/>
      <c r="G29" s="116"/>
      <c r="H29" s="116"/>
      <c r="I29" s="125" t="str">
        <f t="shared" si="14"/>
        <v/>
      </c>
      <c r="J29" s="27" t="str">
        <f t="shared" si="10"/>
        <v/>
      </c>
      <c r="K29" s="155"/>
      <c r="L29" s="28" t="str">
        <f t="shared" si="11"/>
        <v/>
      </c>
      <c r="M29" s="74" t="str">
        <f t="shared" si="12"/>
        <v/>
      </c>
      <c r="N29" s="157"/>
      <c r="O29" s="29" t="str">
        <f t="shared" si="13"/>
        <v/>
      </c>
    </row>
    <row r="30" spans="2:21" s="16" customFormat="1" ht="18" hidden="1" customHeight="1" x14ac:dyDescent="0.2">
      <c r="B30" s="248"/>
      <c r="C30" s="26" t="s">
        <v>97</v>
      </c>
      <c r="D30" s="116"/>
      <c r="E30" s="116"/>
      <c r="F30" s="116"/>
      <c r="G30" s="116"/>
      <c r="H30" s="116"/>
      <c r="I30" s="125" t="str">
        <f t="shared" si="14"/>
        <v/>
      </c>
      <c r="J30" s="27" t="str">
        <f t="shared" si="10"/>
        <v/>
      </c>
      <c r="K30" s="155"/>
      <c r="L30" s="28" t="str">
        <f t="shared" si="11"/>
        <v/>
      </c>
      <c r="M30" s="74" t="str">
        <f t="shared" si="12"/>
        <v/>
      </c>
      <c r="N30" s="157"/>
      <c r="O30" s="29" t="str">
        <f t="shared" si="13"/>
        <v/>
      </c>
    </row>
    <row r="31" spans="2:21" s="16" customFormat="1" ht="18" hidden="1" customHeight="1" x14ac:dyDescent="0.2">
      <c r="B31" s="248"/>
      <c r="C31" s="26" t="s">
        <v>98</v>
      </c>
      <c r="D31" s="116"/>
      <c r="E31" s="116"/>
      <c r="F31" s="116"/>
      <c r="G31" s="116"/>
      <c r="H31" s="116"/>
      <c r="I31" s="125" t="str">
        <f t="shared" si="14"/>
        <v/>
      </c>
      <c r="J31" s="27" t="str">
        <f t="shared" si="10"/>
        <v/>
      </c>
      <c r="K31" s="155"/>
      <c r="L31" s="28" t="str">
        <f t="shared" si="11"/>
        <v/>
      </c>
      <c r="M31" s="74" t="str">
        <f t="shared" si="12"/>
        <v/>
      </c>
      <c r="N31" s="157"/>
      <c r="O31" s="29" t="str">
        <f t="shared" si="13"/>
        <v/>
      </c>
    </row>
    <row r="32" spans="2:21" s="16" customFormat="1" ht="18" hidden="1" customHeight="1" x14ac:dyDescent="0.2">
      <c r="B32" s="248"/>
      <c r="C32" s="30" t="s">
        <v>108</v>
      </c>
      <c r="D32" s="117"/>
      <c r="E32" s="117"/>
      <c r="F32" s="117"/>
      <c r="G32" s="117"/>
      <c r="H32" s="117"/>
      <c r="I32" s="126" t="str">
        <f t="shared" si="14"/>
        <v/>
      </c>
      <c r="J32" s="31" t="str">
        <f t="shared" si="10"/>
        <v/>
      </c>
      <c r="K32" s="156"/>
      <c r="L32" s="32" t="str">
        <f t="shared" si="11"/>
        <v/>
      </c>
      <c r="M32" s="33" t="str">
        <f t="shared" si="12"/>
        <v/>
      </c>
      <c r="N32" s="158"/>
      <c r="O32" s="34" t="str">
        <f t="shared" si="13"/>
        <v/>
      </c>
    </row>
    <row r="33" spans="2:21" s="20" customFormat="1" ht="19.5" hidden="1" customHeight="1" x14ac:dyDescent="0.2">
      <c r="B33" s="248"/>
      <c r="C33" s="63" t="s">
        <v>60</v>
      </c>
      <c r="D33" s="75"/>
      <c r="E33" s="75"/>
      <c r="F33" s="75"/>
      <c r="G33" s="75"/>
      <c r="H33" s="75"/>
      <c r="I33" s="75"/>
      <c r="J33" s="76"/>
      <c r="K33" s="76"/>
      <c r="L33" s="76"/>
      <c r="M33" s="76"/>
      <c r="N33" s="76"/>
      <c r="O33" s="77"/>
    </row>
    <row r="34" spans="2:21" s="16" customFormat="1" ht="18" hidden="1" customHeight="1" x14ac:dyDescent="0.2">
      <c r="B34" s="248"/>
      <c r="C34" s="65" t="s">
        <v>53</v>
      </c>
      <c r="D34" s="154"/>
      <c r="E34" s="154"/>
      <c r="F34" s="154"/>
      <c r="G34" s="154"/>
      <c r="H34" s="154"/>
      <c r="I34" s="123" t="str">
        <f>IF(COUNT(D34:H34)&gt;0,SUM(D34:H34),"")</f>
        <v/>
      </c>
      <c r="J34" s="66" t="str">
        <f t="shared" ref="J34:J41" si="15">IF(SUM(D34:H34)&gt;0,SUM(D34:F34)/SUM(D34:H34),"")</f>
        <v/>
      </c>
      <c r="K34" s="67"/>
      <c r="L34" s="68" t="str">
        <f t="shared" ref="L34:L41" si="16">IF(K34&lt;&gt;"",IF(J34&lt;&gt;"",J34-K34,""),"")</f>
        <v/>
      </c>
      <c r="M34" s="69" t="str">
        <f t="shared" ref="M34:M41" si="17">IF(SUM(D34:H34)&gt;0,(IF(D34&lt;&gt;"",D34,0)*5+IF(E34&lt;&gt;"",E34,0)*4+IF(F34&lt;&gt;"",F34,0)*3+IF(G34&lt;&gt;"",G34,0)*2+IF(H34&lt;&gt;"",H34,0)*1)/SUM(D34:H34),"")</f>
        <v/>
      </c>
      <c r="N34" s="69"/>
      <c r="O34" s="70" t="str">
        <f t="shared" ref="O34:O41" si="18">IF(N34&lt;&gt;"",IF(M34&lt;&gt;"",M34-N34,""),"")</f>
        <v/>
      </c>
      <c r="Q34" s="16">
        <v>25</v>
      </c>
      <c r="R34" s="16">
        <v>26</v>
      </c>
      <c r="S34" s="16">
        <v>27</v>
      </c>
      <c r="T34" s="16">
        <v>28</v>
      </c>
      <c r="U34" s="16">
        <v>29</v>
      </c>
    </row>
    <row r="35" spans="2:21" s="16" customFormat="1" ht="18" hidden="1" customHeight="1" x14ac:dyDescent="0.2">
      <c r="B35" s="248"/>
      <c r="C35" s="26" t="s">
        <v>54</v>
      </c>
      <c r="D35" s="154"/>
      <c r="E35" s="154"/>
      <c r="F35" s="154"/>
      <c r="G35" s="154"/>
      <c r="H35" s="154"/>
      <c r="I35" s="124" t="str">
        <f t="shared" ref="I35:I41" si="19">IF(COUNT(D35:H35)&gt;0,SUM(D35:H35),"")</f>
        <v/>
      </c>
      <c r="J35" s="27" t="str">
        <f t="shared" si="15"/>
        <v/>
      </c>
      <c r="K35" s="22"/>
      <c r="L35" s="28" t="str">
        <f t="shared" si="16"/>
        <v/>
      </c>
      <c r="M35" s="24" t="str">
        <f t="shared" si="17"/>
        <v/>
      </c>
      <c r="N35" s="24"/>
      <c r="O35" s="29" t="str">
        <f t="shared" si="18"/>
        <v/>
      </c>
      <c r="Q35" s="16">
        <v>30</v>
      </c>
      <c r="R35" s="16">
        <v>31</v>
      </c>
      <c r="S35" s="16">
        <v>32</v>
      </c>
      <c r="T35" s="16">
        <v>33</v>
      </c>
      <c r="U35" s="16">
        <v>34</v>
      </c>
    </row>
    <row r="36" spans="2:21" s="16" customFormat="1" ht="18" hidden="1" customHeight="1" x14ac:dyDescent="0.2">
      <c r="B36" s="248"/>
      <c r="C36" s="26" t="s">
        <v>94</v>
      </c>
      <c r="D36" s="154"/>
      <c r="E36" s="154"/>
      <c r="F36" s="154"/>
      <c r="G36" s="154"/>
      <c r="H36" s="154"/>
      <c r="I36" s="125" t="str">
        <f t="shared" si="19"/>
        <v/>
      </c>
      <c r="J36" s="27" t="str">
        <f t="shared" si="15"/>
        <v/>
      </c>
      <c r="K36" s="22"/>
      <c r="L36" s="28" t="str">
        <f t="shared" si="16"/>
        <v/>
      </c>
      <c r="M36" s="74" t="str">
        <f t="shared" si="17"/>
        <v/>
      </c>
      <c r="N36" s="24"/>
      <c r="O36" s="29" t="str">
        <f t="shared" si="18"/>
        <v/>
      </c>
      <c r="Q36" s="16">
        <v>35</v>
      </c>
      <c r="R36" s="16">
        <v>36</v>
      </c>
      <c r="S36" s="16">
        <v>37</v>
      </c>
      <c r="T36" s="16">
        <v>38</v>
      </c>
      <c r="U36" s="16">
        <v>39</v>
      </c>
    </row>
    <row r="37" spans="2:21" s="16" customFormat="1" ht="18" hidden="1" customHeight="1" x14ac:dyDescent="0.2">
      <c r="B37" s="248"/>
      <c r="C37" s="26" t="s">
        <v>95</v>
      </c>
      <c r="D37" s="206"/>
      <c r="E37" s="206"/>
      <c r="F37" s="206"/>
      <c r="G37" s="206"/>
      <c r="H37" s="206"/>
      <c r="I37" s="125" t="str">
        <f t="shared" si="19"/>
        <v/>
      </c>
      <c r="J37" s="27" t="str">
        <f t="shared" si="15"/>
        <v/>
      </c>
      <c r="K37" s="201"/>
      <c r="L37" s="202" t="str">
        <f t="shared" si="16"/>
        <v/>
      </c>
      <c r="M37" s="203" t="str">
        <f t="shared" si="17"/>
        <v/>
      </c>
      <c r="N37" s="204"/>
      <c r="O37" s="29" t="str">
        <f t="shared" si="18"/>
        <v/>
      </c>
      <c r="Q37" s="16">
        <v>40</v>
      </c>
      <c r="R37" s="16">
        <v>41</v>
      </c>
      <c r="S37" s="16">
        <v>42</v>
      </c>
      <c r="T37" s="16">
        <v>43</v>
      </c>
      <c r="U37" s="16">
        <v>44</v>
      </c>
    </row>
    <row r="38" spans="2:21" s="16" customFormat="1" ht="18" hidden="1" customHeight="1" x14ac:dyDescent="0.2">
      <c r="B38" s="248"/>
      <c r="C38" s="26" t="s">
        <v>96</v>
      </c>
      <c r="D38" s="116"/>
      <c r="E38" s="116"/>
      <c r="F38" s="116"/>
      <c r="G38" s="116"/>
      <c r="H38" s="116"/>
      <c r="I38" s="125" t="str">
        <f t="shared" si="19"/>
        <v/>
      </c>
      <c r="J38" s="27" t="str">
        <f t="shared" si="15"/>
        <v/>
      </c>
      <c r="K38" s="155"/>
      <c r="L38" s="28" t="str">
        <f t="shared" si="16"/>
        <v/>
      </c>
      <c r="M38" s="74" t="str">
        <f t="shared" si="17"/>
        <v/>
      </c>
      <c r="N38" s="157"/>
      <c r="O38" s="29" t="str">
        <f t="shared" si="18"/>
        <v/>
      </c>
    </row>
    <row r="39" spans="2:21" s="16" customFormat="1" ht="18" hidden="1" customHeight="1" x14ac:dyDescent="0.2">
      <c r="B39" s="248"/>
      <c r="C39" s="26" t="s">
        <v>97</v>
      </c>
      <c r="D39" s="116"/>
      <c r="E39" s="116"/>
      <c r="F39" s="116"/>
      <c r="G39" s="116"/>
      <c r="H39" s="116"/>
      <c r="I39" s="125" t="str">
        <f t="shared" si="19"/>
        <v/>
      </c>
      <c r="J39" s="27" t="str">
        <f t="shared" si="15"/>
        <v/>
      </c>
      <c r="K39" s="155"/>
      <c r="L39" s="28" t="str">
        <f t="shared" si="16"/>
        <v/>
      </c>
      <c r="M39" s="74" t="str">
        <f t="shared" si="17"/>
        <v/>
      </c>
      <c r="N39" s="157"/>
      <c r="O39" s="29" t="str">
        <f t="shared" si="18"/>
        <v/>
      </c>
    </row>
    <row r="40" spans="2:21" s="16" customFormat="1" ht="18" hidden="1" customHeight="1" x14ac:dyDescent="0.2">
      <c r="B40" s="248"/>
      <c r="C40" s="26" t="s">
        <v>98</v>
      </c>
      <c r="D40" s="116"/>
      <c r="E40" s="116"/>
      <c r="F40" s="116"/>
      <c r="G40" s="116"/>
      <c r="H40" s="116"/>
      <c r="I40" s="125" t="str">
        <f t="shared" si="19"/>
        <v/>
      </c>
      <c r="J40" s="27" t="str">
        <f t="shared" si="15"/>
        <v/>
      </c>
      <c r="K40" s="155"/>
      <c r="L40" s="28" t="str">
        <f t="shared" si="16"/>
        <v/>
      </c>
      <c r="M40" s="74" t="str">
        <f t="shared" si="17"/>
        <v/>
      </c>
      <c r="N40" s="157"/>
      <c r="O40" s="29" t="str">
        <f t="shared" si="18"/>
        <v/>
      </c>
    </row>
    <row r="41" spans="2:21" s="16" customFormat="1" ht="18" hidden="1" customHeight="1" x14ac:dyDescent="0.2">
      <c r="B41" s="248"/>
      <c r="C41" s="30" t="s">
        <v>108</v>
      </c>
      <c r="D41" s="117"/>
      <c r="E41" s="117"/>
      <c r="F41" s="117"/>
      <c r="G41" s="117"/>
      <c r="H41" s="117"/>
      <c r="I41" s="126" t="str">
        <f t="shared" si="19"/>
        <v/>
      </c>
      <c r="J41" s="31" t="str">
        <f t="shared" si="15"/>
        <v/>
      </c>
      <c r="K41" s="156"/>
      <c r="L41" s="32" t="str">
        <f t="shared" si="16"/>
        <v/>
      </c>
      <c r="M41" s="33" t="str">
        <f t="shared" si="17"/>
        <v/>
      </c>
      <c r="N41" s="158"/>
      <c r="O41" s="34" t="str">
        <f t="shared" si="18"/>
        <v/>
      </c>
    </row>
    <row r="42" spans="2:21" s="20" customFormat="1" ht="19.5" customHeight="1" x14ac:dyDescent="0.2">
      <c r="B42" s="248"/>
      <c r="C42" s="225" t="s">
        <v>134</v>
      </c>
      <c r="D42" s="71"/>
      <c r="E42" s="71"/>
      <c r="F42" s="71"/>
      <c r="G42" s="71"/>
      <c r="H42" s="71"/>
      <c r="I42" s="71"/>
      <c r="J42" s="72"/>
      <c r="K42" s="72"/>
      <c r="L42" s="72"/>
      <c r="M42" s="72"/>
      <c r="N42" s="72"/>
      <c r="O42" s="73"/>
    </row>
    <row r="43" spans="2:21" s="16" customFormat="1" ht="18" customHeight="1" x14ac:dyDescent="0.2">
      <c r="B43" s="248"/>
      <c r="C43" s="65" t="s">
        <v>53</v>
      </c>
      <c r="D43" s="154">
        <v>0</v>
      </c>
      <c r="E43" s="154">
        <v>11</v>
      </c>
      <c r="F43" s="154">
        <v>23</v>
      </c>
      <c r="G43" s="154">
        <v>19</v>
      </c>
      <c r="H43" s="154">
        <v>0</v>
      </c>
      <c r="I43" s="123">
        <f>IF(COUNT(D43:H43)&gt;0,SUM(D43:H43),"")</f>
        <v>53</v>
      </c>
      <c r="J43" s="66">
        <f t="shared" ref="J43:J50" si="20">IF(SUM(D43:H43)&gt;0,SUM(D43:F43)/SUM(D43:H43),"")</f>
        <v>0.64150943396226412</v>
      </c>
      <c r="K43" s="67">
        <v>0.65416199551569509</v>
      </c>
      <c r="L43" s="68">
        <f t="shared" ref="L43:L50" si="21">IF(K43&lt;&gt;"",IF(J43&lt;&gt;"",J43-K43,""),"")</f>
        <v>-1.2652561553430974E-2</v>
      </c>
      <c r="M43" s="69">
        <f t="shared" ref="M43:M50" si="22">IF(SUM(D43:H43)&gt;0,(IF(D43&lt;&gt;"",D43,0)*5+IF(E43&lt;&gt;"",E43,0)*4+IF(F43&lt;&gt;"",F43,0)*3+IF(G43&lt;&gt;"",G43,0)*2+IF(H43&lt;&gt;"",H43,0)*1)/SUM(D43:H43),"")</f>
        <v>2.8490566037735849</v>
      </c>
      <c r="N43" s="69">
        <v>2.8264714125560539</v>
      </c>
      <c r="O43" s="70">
        <f t="shared" ref="O43:O50" si="23">IF(N43&lt;&gt;"",IF(M43&lt;&gt;"",M43-N43,""),"")</f>
        <v>2.2585191217530998E-2</v>
      </c>
      <c r="Q43" s="16">
        <v>5</v>
      </c>
      <c r="R43" s="16">
        <v>6</v>
      </c>
      <c r="S43" s="16">
        <v>7</v>
      </c>
      <c r="T43" s="16">
        <v>8</v>
      </c>
      <c r="U43" s="16">
        <v>9</v>
      </c>
    </row>
    <row r="44" spans="2:21" s="16" customFormat="1" ht="18" customHeight="1" x14ac:dyDescent="0.2">
      <c r="B44" s="248"/>
      <c r="C44" s="26" t="s">
        <v>54</v>
      </c>
      <c r="D44" s="154">
        <v>0</v>
      </c>
      <c r="E44" s="154">
        <v>3</v>
      </c>
      <c r="F44" s="154">
        <v>22</v>
      </c>
      <c r="G44" s="154">
        <v>40</v>
      </c>
      <c r="H44" s="154">
        <v>1</v>
      </c>
      <c r="I44" s="124">
        <f t="shared" ref="I44:I49" si="24">IF(COUNT(D44:H44)&gt;0,SUM(D44:H44),"")</f>
        <v>66</v>
      </c>
      <c r="J44" s="27">
        <f t="shared" si="20"/>
        <v>0.37878787878787878</v>
      </c>
      <c r="K44" s="22">
        <v>0.50967413441955189</v>
      </c>
      <c r="L44" s="28">
        <f t="shared" si="21"/>
        <v>-0.13088625563167311</v>
      </c>
      <c r="M44" s="24">
        <f t="shared" si="22"/>
        <v>2.4090909090909092</v>
      </c>
      <c r="N44" s="24">
        <v>2.6287919391145889</v>
      </c>
      <c r="O44" s="29">
        <f t="shared" si="23"/>
        <v>-0.21970103002367969</v>
      </c>
      <c r="Q44" s="16">
        <v>10</v>
      </c>
      <c r="R44" s="16">
        <v>11</v>
      </c>
      <c r="S44" s="16">
        <v>12</v>
      </c>
      <c r="T44" s="16">
        <v>13</v>
      </c>
      <c r="U44" s="16">
        <v>14</v>
      </c>
    </row>
    <row r="45" spans="2:21" s="16" customFormat="1" ht="18" customHeight="1" x14ac:dyDescent="0.2">
      <c r="B45" s="248"/>
      <c r="C45" s="26" t="s">
        <v>94</v>
      </c>
      <c r="D45" s="154">
        <v>0</v>
      </c>
      <c r="E45" s="154">
        <v>6</v>
      </c>
      <c r="F45" s="154">
        <v>29</v>
      </c>
      <c r="G45" s="154">
        <v>25</v>
      </c>
      <c r="H45" s="154">
        <v>0</v>
      </c>
      <c r="I45" s="125">
        <f t="shared" si="24"/>
        <v>60</v>
      </c>
      <c r="J45" s="27">
        <f t="shared" si="20"/>
        <v>0.58333333333333337</v>
      </c>
      <c r="K45" s="22">
        <v>0.69600064117977078</v>
      </c>
      <c r="L45" s="28">
        <f t="shared" si="21"/>
        <v>-0.11266730784643741</v>
      </c>
      <c r="M45" s="74">
        <f t="shared" si="22"/>
        <v>2.6833333333333331</v>
      </c>
      <c r="N45" s="24">
        <v>2.9424006839250887</v>
      </c>
      <c r="O45" s="29">
        <f t="shared" si="23"/>
        <v>-0.25906735059175556</v>
      </c>
      <c r="Q45" s="16">
        <v>15</v>
      </c>
      <c r="R45" s="16">
        <v>16</v>
      </c>
      <c r="S45" s="16">
        <v>17</v>
      </c>
      <c r="T45" s="16">
        <v>18</v>
      </c>
      <c r="U45" s="16">
        <v>19</v>
      </c>
    </row>
    <row r="46" spans="2:21" s="16" customFormat="1" ht="18" customHeight="1" x14ac:dyDescent="0.2">
      <c r="B46" s="248"/>
      <c r="C46" s="26" t="s">
        <v>95</v>
      </c>
      <c r="D46" s="206">
        <v>1</v>
      </c>
      <c r="E46" s="206">
        <v>5</v>
      </c>
      <c r="F46" s="206">
        <v>21</v>
      </c>
      <c r="G46" s="206">
        <v>7</v>
      </c>
      <c r="H46" s="206">
        <v>1</v>
      </c>
      <c r="I46" s="125">
        <f t="shared" si="24"/>
        <v>35</v>
      </c>
      <c r="J46" s="27">
        <f t="shared" si="20"/>
        <v>0.77142857142857146</v>
      </c>
      <c r="K46" s="201">
        <v>0.75660000000000005</v>
      </c>
      <c r="L46" s="202">
        <f t="shared" si="21"/>
        <v>1.4828571428571413E-2</v>
      </c>
      <c r="M46" s="203">
        <f t="shared" si="22"/>
        <v>2.9428571428571431</v>
      </c>
      <c r="N46" s="204">
        <v>3.02</v>
      </c>
      <c r="O46" s="29">
        <f t="shared" si="23"/>
        <v>-7.7142857142856958E-2</v>
      </c>
      <c r="Q46" s="16">
        <v>20</v>
      </c>
      <c r="R46" s="16">
        <v>21</v>
      </c>
      <c r="S46" s="16">
        <v>22</v>
      </c>
      <c r="T46" s="16">
        <v>23</v>
      </c>
      <c r="U46" s="16">
        <v>24</v>
      </c>
    </row>
    <row r="47" spans="2:21" s="16" customFormat="1" ht="18" customHeight="1" x14ac:dyDescent="0.2">
      <c r="B47" s="248"/>
      <c r="C47" s="26" t="s">
        <v>96</v>
      </c>
      <c r="D47" s="116"/>
      <c r="E47" s="116"/>
      <c r="F47" s="116"/>
      <c r="G47" s="116"/>
      <c r="H47" s="116"/>
      <c r="I47" s="125" t="str">
        <f t="shared" si="24"/>
        <v/>
      </c>
      <c r="J47" s="27" t="str">
        <f t="shared" si="20"/>
        <v/>
      </c>
      <c r="K47" s="155"/>
      <c r="L47" s="28" t="str">
        <f t="shared" si="21"/>
        <v/>
      </c>
      <c r="M47" s="74" t="str">
        <f t="shared" si="22"/>
        <v/>
      </c>
      <c r="N47" s="157"/>
      <c r="O47" s="29" t="str">
        <f t="shared" si="23"/>
        <v/>
      </c>
    </row>
    <row r="48" spans="2:21" s="16" customFormat="1" ht="18" customHeight="1" x14ac:dyDescent="0.2">
      <c r="B48" s="248"/>
      <c r="C48" s="26" t="s">
        <v>97</v>
      </c>
      <c r="D48" s="116"/>
      <c r="E48" s="116"/>
      <c r="F48" s="116"/>
      <c r="G48" s="116"/>
      <c r="H48" s="116"/>
      <c r="I48" s="125" t="str">
        <f t="shared" si="24"/>
        <v/>
      </c>
      <c r="J48" s="27" t="str">
        <f t="shared" si="20"/>
        <v/>
      </c>
      <c r="K48" s="155"/>
      <c r="L48" s="28" t="str">
        <f t="shared" si="21"/>
        <v/>
      </c>
      <c r="M48" s="74" t="str">
        <f t="shared" si="22"/>
        <v/>
      </c>
      <c r="N48" s="157"/>
      <c r="O48" s="29" t="str">
        <f t="shared" si="23"/>
        <v/>
      </c>
    </row>
    <row r="49" spans="2:21" s="16" customFormat="1" ht="18" customHeight="1" x14ac:dyDescent="0.2">
      <c r="B49" s="248"/>
      <c r="C49" s="26" t="s">
        <v>98</v>
      </c>
      <c r="D49" s="116"/>
      <c r="E49" s="116"/>
      <c r="F49" s="116"/>
      <c r="G49" s="116"/>
      <c r="H49" s="116"/>
      <c r="I49" s="125" t="str">
        <f t="shared" si="24"/>
        <v/>
      </c>
      <c r="J49" s="27" t="str">
        <f t="shared" si="20"/>
        <v/>
      </c>
      <c r="K49" s="155"/>
      <c r="L49" s="28" t="str">
        <f t="shared" si="21"/>
        <v/>
      </c>
      <c r="M49" s="74" t="str">
        <f t="shared" si="22"/>
        <v/>
      </c>
      <c r="N49" s="157"/>
      <c r="O49" s="29" t="str">
        <f t="shared" si="23"/>
        <v/>
      </c>
    </row>
    <row r="50" spans="2:21" s="16" customFormat="1" ht="18" customHeight="1" x14ac:dyDescent="0.2">
      <c r="B50" s="248"/>
      <c r="C50" s="30" t="s">
        <v>108</v>
      </c>
      <c r="D50" s="117"/>
      <c r="E50" s="117"/>
      <c r="F50" s="117"/>
      <c r="G50" s="117"/>
      <c r="H50" s="117"/>
      <c r="I50" s="126" t="str">
        <f>IF(COUNT(D50:H50)&gt;0,SUM(D50:H50),"")</f>
        <v/>
      </c>
      <c r="J50" s="31" t="str">
        <f t="shared" si="20"/>
        <v/>
      </c>
      <c r="K50" s="156"/>
      <c r="L50" s="32" t="str">
        <f t="shared" si="21"/>
        <v/>
      </c>
      <c r="M50" s="33" t="str">
        <f t="shared" si="22"/>
        <v/>
      </c>
      <c r="N50" s="158"/>
      <c r="O50" s="34" t="str">
        <f t="shared" si="23"/>
        <v/>
      </c>
    </row>
    <row r="51" spans="2:21" s="20" customFormat="1" ht="19.5" customHeight="1" x14ac:dyDescent="0.2">
      <c r="B51" s="248"/>
      <c r="C51" s="225" t="s">
        <v>135</v>
      </c>
      <c r="D51" s="75"/>
      <c r="E51" s="75"/>
      <c r="F51" s="75"/>
      <c r="G51" s="75"/>
      <c r="H51" s="75"/>
      <c r="I51" s="75"/>
      <c r="J51" s="76"/>
      <c r="K51" s="76"/>
      <c r="L51" s="76"/>
      <c r="M51" s="76"/>
      <c r="N51" s="76"/>
      <c r="O51" s="77"/>
    </row>
    <row r="52" spans="2:21" s="16" customFormat="1" ht="18" customHeight="1" x14ac:dyDescent="0.2">
      <c r="B52" s="248"/>
      <c r="C52" s="65" t="s">
        <v>53</v>
      </c>
      <c r="D52" s="154">
        <v>2</v>
      </c>
      <c r="E52" s="154">
        <v>7</v>
      </c>
      <c r="F52" s="154">
        <v>16</v>
      </c>
      <c r="G52" s="154">
        <v>27</v>
      </c>
      <c r="H52" s="154">
        <v>1</v>
      </c>
      <c r="I52" s="123">
        <f>IF(COUNT(D52:H52)&gt;0,SUM(D52:H52),"")</f>
        <v>53</v>
      </c>
      <c r="J52" s="66">
        <f t="shared" ref="J52:J59" si="25">IF(SUM(D52:H52)&gt;0,SUM(D52:F52)/SUM(D52:H52),"")</f>
        <v>0.47169811320754718</v>
      </c>
      <c r="K52" s="67">
        <v>0.55510804955280257</v>
      </c>
      <c r="L52" s="68">
        <f t="shared" ref="L52:L59" si="26">IF(K52&lt;&gt;"",IF(J52&lt;&gt;"",J52-K52,""),"")</f>
        <v>-8.3409936345255398E-2</v>
      </c>
      <c r="M52" s="69">
        <f t="shared" ref="M52:M59" si="27">IF(SUM(D52:H52)&gt;0,(IF(D52&lt;&gt;"",D52,0)*5+IF(E52&lt;&gt;"",E52,0)*4+IF(F52&lt;&gt;"",F52,0)*3+IF(G52&lt;&gt;"",G52,0)*2+IF(H52&lt;&gt;"",H52,0)*1)/SUM(D52:H52),"")</f>
        <v>2.6603773584905661</v>
      </c>
      <c r="N52" s="69">
        <v>2.8699516693517029</v>
      </c>
      <c r="O52" s="70">
        <f t="shared" ref="O52:O59" si="28">IF(N52&lt;&gt;"",IF(M52&lt;&gt;"",M52-N52,""),"")</f>
        <v>-0.20957431086113676</v>
      </c>
      <c r="Q52" s="16">
        <v>25</v>
      </c>
      <c r="R52" s="16">
        <v>26</v>
      </c>
      <c r="S52" s="16">
        <v>27</v>
      </c>
      <c r="T52" s="16">
        <v>28</v>
      </c>
      <c r="U52" s="16">
        <v>29</v>
      </c>
    </row>
    <row r="53" spans="2:21" s="16" customFormat="1" ht="18" customHeight="1" x14ac:dyDescent="0.2">
      <c r="B53" s="248"/>
      <c r="C53" s="26" t="s">
        <v>54</v>
      </c>
      <c r="D53" s="154">
        <v>0</v>
      </c>
      <c r="E53" s="154">
        <v>6</v>
      </c>
      <c r="F53" s="154">
        <v>18</v>
      </c>
      <c r="G53" s="154">
        <v>39</v>
      </c>
      <c r="H53" s="154">
        <v>3</v>
      </c>
      <c r="I53" s="124">
        <f t="shared" ref="I53:I59" si="29">IF(COUNT(D53:H53)&gt;0,SUM(D53:H53),"")</f>
        <v>66</v>
      </c>
      <c r="J53" s="27">
        <f t="shared" si="25"/>
        <v>0.36363636363636365</v>
      </c>
      <c r="K53" s="22">
        <v>0.40137663726276396</v>
      </c>
      <c r="L53" s="28">
        <f t="shared" si="26"/>
        <v>-3.7740273626400311E-2</v>
      </c>
      <c r="M53" s="24">
        <f t="shared" si="27"/>
        <v>2.4090909090909092</v>
      </c>
      <c r="N53" s="24">
        <v>2.4421545041432773</v>
      </c>
      <c r="O53" s="29">
        <f t="shared" si="28"/>
        <v>-3.3063595052368111E-2</v>
      </c>
      <c r="Q53" s="16">
        <v>30</v>
      </c>
      <c r="R53" s="16">
        <v>31</v>
      </c>
      <c r="S53" s="16">
        <v>32</v>
      </c>
      <c r="T53" s="16">
        <v>33</v>
      </c>
      <c r="U53" s="16">
        <v>34</v>
      </c>
    </row>
    <row r="54" spans="2:21" s="16" customFormat="1" ht="18" customHeight="1" x14ac:dyDescent="0.2">
      <c r="B54" s="248"/>
      <c r="C54" s="26" t="s">
        <v>94</v>
      </c>
      <c r="D54" s="154">
        <v>0</v>
      </c>
      <c r="E54" s="154">
        <v>4</v>
      </c>
      <c r="F54" s="154">
        <v>9</v>
      </c>
      <c r="G54" s="154">
        <v>40</v>
      </c>
      <c r="H54" s="154">
        <v>7</v>
      </c>
      <c r="I54" s="125">
        <f t="shared" si="29"/>
        <v>60</v>
      </c>
      <c r="J54" s="27">
        <f t="shared" si="25"/>
        <v>0.21666666666666667</v>
      </c>
      <c r="K54" s="22">
        <v>0.52995937937004733</v>
      </c>
      <c r="L54" s="28">
        <f t="shared" si="26"/>
        <v>-0.31329271270338066</v>
      </c>
      <c r="M54" s="74">
        <f t="shared" si="27"/>
        <v>2.1666666666666665</v>
      </c>
      <c r="N54" s="24">
        <v>2.7757741226609842</v>
      </c>
      <c r="O54" s="29">
        <f t="shared" si="28"/>
        <v>-0.6091074559943177</v>
      </c>
      <c r="Q54" s="16">
        <v>35</v>
      </c>
      <c r="R54" s="16">
        <v>36</v>
      </c>
      <c r="S54" s="16">
        <v>37</v>
      </c>
      <c r="T54" s="16">
        <v>38</v>
      </c>
      <c r="U54" s="16">
        <v>39</v>
      </c>
    </row>
    <row r="55" spans="2:21" s="16" customFormat="1" ht="18" customHeight="1" x14ac:dyDescent="0.2">
      <c r="B55" s="248"/>
      <c r="C55" s="26" t="s">
        <v>95</v>
      </c>
      <c r="D55" s="206">
        <v>1</v>
      </c>
      <c r="E55" s="206">
        <v>6</v>
      </c>
      <c r="F55" s="206">
        <v>5</v>
      </c>
      <c r="G55" s="206">
        <v>19</v>
      </c>
      <c r="H55" s="206">
        <v>4</v>
      </c>
      <c r="I55" s="125">
        <f t="shared" si="29"/>
        <v>35</v>
      </c>
      <c r="J55" s="27">
        <f t="shared" si="25"/>
        <v>0.34285714285714286</v>
      </c>
      <c r="K55" s="22">
        <v>0.4713</v>
      </c>
      <c r="L55" s="28">
        <f t="shared" si="26"/>
        <v>-0.12844285714285714</v>
      </c>
      <c r="M55" s="74">
        <f t="shared" si="27"/>
        <v>2.4571428571428573</v>
      </c>
      <c r="N55" s="24">
        <v>2.61</v>
      </c>
      <c r="O55" s="29">
        <f t="shared" si="28"/>
        <v>-0.15285714285714258</v>
      </c>
      <c r="Q55" s="16">
        <v>40</v>
      </c>
      <c r="R55" s="16">
        <v>41</v>
      </c>
      <c r="S55" s="16">
        <v>42</v>
      </c>
      <c r="T55" s="16">
        <v>43</v>
      </c>
      <c r="U55" s="16">
        <v>44</v>
      </c>
    </row>
    <row r="56" spans="2:21" s="16" customFormat="1" ht="18" customHeight="1" x14ac:dyDescent="0.2">
      <c r="B56" s="248"/>
      <c r="C56" s="26" t="s">
        <v>96</v>
      </c>
      <c r="D56" s="116"/>
      <c r="E56" s="116"/>
      <c r="F56" s="116"/>
      <c r="G56" s="116"/>
      <c r="H56" s="116"/>
      <c r="I56" s="125" t="str">
        <f t="shared" si="29"/>
        <v/>
      </c>
      <c r="J56" s="27" t="str">
        <f t="shared" si="25"/>
        <v/>
      </c>
      <c r="K56" s="155"/>
      <c r="L56" s="28" t="str">
        <f t="shared" si="26"/>
        <v/>
      </c>
      <c r="M56" s="74" t="str">
        <f t="shared" si="27"/>
        <v/>
      </c>
      <c r="N56" s="157"/>
      <c r="O56" s="29" t="str">
        <f t="shared" si="28"/>
        <v/>
      </c>
    </row>
    <row r="57" spans="2:21" s="16" customFormat="1" ht="18" customHeight="1" x14ac:dyDescent="0.2">
      <c r="B57" s="248"/>
      <c r="C57" s="26" t="s">
        <v>97</v>
      </c>
      <c r="D57" s="116"/>
      <c r="E57" s="116"/>
      <c r="F57" s="116"/>
      <c r="G57" s="116"/>
      <c r="H57" s="116"/>
      <c r="I57" s="125" t="str">
        <f t="shared" si="29"/>
        <v/>
      </c>
      <c r="J57" s="27" t="str">
        <f t="shared" si="25"/>
        <v/>
      </c>
      <c r="K57" s="155"/>
      <c r="L57" s="28" t="str">
        <f t="shared" si="26"/>
        <v/>
      </c>
      <c r="M57" s="74" t="str">
        <f t="shared" si="27"/>
        <v/>
      </c>
      <c r="N57" s="157"/>
      <c r="O57" s="29" t="str">
        <f t="shared" si="28"/>
        <v/>
      </c>
    </row>
    <row r="58" spans="2:21" s="16" customFormat="1" ht="18" customHeight="1" x14ac:dyDescent="0.2">
      <c r="B58" s="248"/>
      <c r="C58" s="26" t="s">
        <v>98</v>
      </c>
      <c r="D58" s="116"/>
      <c r="E58" s="116"/>
      <c r="F58" s="116"/>
      <c r="G58" s="116"/>
      <c r="H58" s="116"/>
      <c r="I58" s="125" t="str">
        <f t="shared" si="29"/>
        <v/>
      </c>
      <c r="J58" s="27" t="str">
        <f t="shared" si="25"/>
        <v/>
      </c>
      <c r="K58" s="155"/>
      <c r="L58" s="28" t="str">
        <f t="shared" si="26"/>
        <v/>
      </c>
      <c r="M58" s="74" t="str">
        <f t="shared" si="27"/>
        <v/>
      </c>
      <c r="N58" s="157"/>
      <c r="O58" s="29" t="str">
        <f t="shared" si="28"/>
        <v/>
      </c>
    </row>
    <row r="59" spans="2:21" s="16" customFormat="1" ht="18" customHeight="1" x14ac:dyDescent="0.2">
      <c r="B59" s="248"/>
      <c r="C59" s="30" t="s">
        <v>108</v>
      </c>
      <c r="D59" s="117"/>
      <c r="E59" s="117"/>
      <c r="F59" s="117"/>
      <c r="G59" s="117"/>
      <c r="H59" s="117"/>
      <c r="I59" s="126" t="str">
        <f t="shared" si="29"/>
        <v/>
      </c>
      <c r="J59" s="31" t="str">
        <f t="shared" si="25"/>
        <v/>
      </c>
      <c r="K59" s="156"/>
      <c r="L59" s="32" t="str">
        <f t="shared" si="26"/>
        <v/>
      </c>
      <c r="M59" s="33" t="str">
        <f t="shared" si="27"/>
        <v/>
      </c>
      <c r="N59" s="158"/>
      <c r="O59" s="34" t="str">
        <f t="shared" si="28"/>
        <v/>
      </c>
    </row>
    <row r="60" spans="2:21" s="41" customFormat="1" ht="17.25" customHeight="1" x14ac:dyDescent="0.2">
      <c r="B60" s="42"/>
      <c r="C60" s="42"/>
      <c r="D60" s="42" t="s">
        <v>59</v>
      </c>
      <c r="E60" s="36"/>
      <c r="F60" s="36"/>
      <c r="G60" s="36"/>
      <c r="H60" s="36"/>
      <c r="I60" s="36"/>
      <c r="J60" s="37"/>
      <c r="K60" s="38"/>
      <c r="L60" s="37"/>
      <c r="M60" s="39"/>
      <c r="N60" s="40"/>
      <c r="O60" s="39"/>
    </row>
    <row r="61" spans="2:21" s="78" customFormat="1" ht="12" customHeight="1" x14ac:dyDescent="0.2">
      <c r="B61" s="89"/>
      <c r="C61" s="90"/>
      <c r="D61" s="90"/>
      <c r="E61" s="91"/>
      <c r="F61" s="91"/>
      <c r="G61" s="91"/>
      <c r="H61" s="91"/>
      <c r="I61" s="91"/>
      <c r="J61" s="92"/>
      <c r="K61" s="93"/>
      <c r="L61" s="92"/>
      <c r="M61" s="88"/>
      <c r="N61" s="94"/>
      <c r="O61" s="88"/>
    </row>
    <row r="62" spans="2:21" s="16" customFormat="1" ht="19.5" customHeight="1" x14ac:dyDescent="0.2">
      <c r="B62" s="243" t="s">
        <v>43</v>
      </c>
      <c r="C62" s="18"/>
      <c r="D62" s="236" t="s">
        <v>61</v>
      </c>
      <c r="E62" s="251"/>
      <c r="F62" s="246" t="s">
        <v>110</v>
      </c>
      <c r="G62" s="236" t="s">
        <v>93</v>
      </c>
      <c r="H62" s="237"/>
      <c r="I62" s="238"/>
      <c r="J62" s="236" t="s">
        <v>58</v>
      </c>
      <c r="K62" s="237"/>
      <c r="L62" s="238"/>
    </row>
    <row r="63" spans="2:21" s="20" customFormat="1" ht="74.25" customHeight="1" x14ac:dyDescent="0.2">
      <c r="B63" s="244"/>
      <c r="C63" s="19" t="s">
        <v>44</v>
      </c>
      <c r="D63" s="194" t="s">
        <v>62</v>
      </c>
      <c r="E63" s="194" t="s">
        <v>63</v>
      </c>
      <c r="F63" s="247"/>
      <c r="G63" s="194" t="s">
        <v>50</v>
      </c>
      <c r="H63" s="194" t="s">
        <v>51</v>
      </c>
      <c r="I63" s="195" t="s">
        <v>52</v>
      </c>
      <c r="J63" s="194" t="s">
        <v>50</v>
      </c>
      <c r="K63" s="194" t="s">
        <v>51</v>
      </c>
      <c r="L63" s="195" t="s">
        <v>52</v>
      </c>
    </row>
    <row r="64" spans="2:21" s="20" customFormat="1" ht="19.5" customHeight="1" x14ac:dyDescent="0.2">
      <c r="B64" s="244"/>
      <c r="C64" s="226" t="s">
        <v>136</v>
      </c>
      <c r="D64" s="64" t="s">
        <v>92</v>
      </c>
      <c r="E64" s="75"/>
      <c r="F64" s="75"/>
      <c r="G64" s="75"/>
      <c r="H64" s="75"/>
      <c r="I64" s="75"/>
      <c r="J64" s="76"/>
      <c r="K64" s="76"/>
      <c r="L64" s="77"/>
    </row>
    <row r="65" spans="2:22" s="16" customFormat="1" ht="18" customHeight="1" x14ac:dyDescent="0.2">
      <c r="B65" s="244"/>
      <c r="C65" s="65" t="s">
        <v>53</v>
      </c>
      <c r="D65" s="154">
        <v>0</v>
      </c>
      <c r="E65" s="154">
        <v>0</v>
      </c>
      <c r="F65" s="127">
        <f>IF(COUNT(D65:E65)&gt;0,SUM(D65:E65),"")</f>
        <v>0</v>
      </c>
      <c r="G65" s="21" t="str">
        <f>IF(D65&lt;&gt;"",IF(SUM(D65:E65)&lt;&gt;0,D65/SUM(D65:E65),""),"")</f>
        <v/>
      </c>
      <c r="H65" s="209" t="s">
        <v>112</v>
      </c>
      <c r="I65" s="23" t="str">
        <f>IF(H65&lt;&gt;"",IF(G65&lt;&gt;"",G65-H65,""),"")</f>
        <v/>
      </c>
      <c r="J65" s="167" t="s">
        <v>112</v>
      </c>
      <c r="K65" s="213" t="s">
        <v>112</v>
      </c>
      <c r="L65" s="25" t="str">
        <f>IF(K65&lt;&gt;"",IF(J65&lt;&gt;"",J65-K65,""),"")</f>
        <v/>
      </c>
      <c r="Q65" s="16">
        <v>5</v>
      </c>
      <c r="R65" s="16">
        <v>6</v>
      </c>
      <c r="S65" s="16">
        <v>7</v>
      </c>
    </row>
    <row r="66" spans="2:22" s="16" customFormat="1" ht="18" customHeight="1" x14ac:dyDescent="0.2">
      <c r="B66" s="244"/>
      <c r="C66" s="26" t="s">
        <v>54</v>
      </c>
      <c r="D66" s="154">
        <v>0</v>
      </c>
      <c r="E66" s="154">
        <v>0</v>
      </c>
      <c r="F66" s="128">
        <f t="shared" ref="F66:F72" si="30">IF(COUNT(D66:E66)&gt;0,SUM(D66:E66),"")</f>
        <v>0</v>
      </c>
      <c r="G66" s="27" t="str">
        <f t="shared" ref="G66:G72" si="31">IF(D66&lt;&gt;"",IF(SUM(D66:E66)&lt;&gt;0,D66/SUM(D66:E66),""),"")</f>
        <v/>
      </c>
      <c r="H66" s="210" t="s">
        <v>112</v>
      </c>
      <c r="I66" s="28" t="str">
        <f t="shared" ref="I66:I72" si="32">IF(H66&lt;&gt;"",IF(G66&lt;&gt;"",G66-H66,""),"")</f>
        <v/>
      </c>
      <c r="J66" s="168" t="s">
        <v>112</v>
      </c>
      <c r="K66" s="214" t="s">
        <v>112</v>
      </c>
      <c r="L66" s="29" t="str">
        <f t="shared" ref="L66:L72" si="33">IF(K66&lt;&gt;"",IF(J66&lt;&gt;"",J66-K66,""),"")</f>
        <v/>
      </c>
      <c r="Q66" s="16">
        <v>8</v>
      </c>
      <c r="R66" s="16">
        <v>9</v>
      </c>
      <c r="S66" s="16">
        <v>10</v>
      </c>
    </row>
    <row r="67" spans="2:22" s="16" customFormat="1" ht="18" customHeight="1" x14ac:dyDescent="0.2">
      <c r="B67" s="244"/>
      <c r="C67" s="26" t="s">
        <v>94</v>
      </c>
      <c r="D67" s="154">
        <v>0</v>
      </c>
      <c r="E67" s="154">
        <v>0</v>
      </c>
      <c r="F67" s="128">
        <f t="shared" si="30"/>
        <v>0</v>
      </c>
      <c r="G67" s="79" t="str">
        <f t="shared" si="31"/>
        <v/>
      </c>
      <c r="H67" s="211" t="s">
        <v>112</v>
      </c>
      <c r="I67" s="80" t="str">
        <f t="shared" si="32"/>
        <v/>
      </c>
      <c r="J67" s="168" t="s">
        <v>112</v>
      </c>
      <c r="K67" s="215" t="s">
        <v>112</v>
      </c>
      <c r="L67" s="81" t="str">
        <f t="shared" si="33"/>
        <v/>
      </c>
      <c r="Q67" s="16">
        <v>11</v>
      </c>
      <c r="R67" s="16">
        <v>12</v>
      </c>
      <c r="S67" s="16">
        <v>13</v>
      </c>
    </row>
    <row r="68" spans="2:22" s="16" customFormat="1" ht="18" customHeight="1" x14ac:dyDescent="0.2">
      <c r="B68" s="244"/>
      <c r="C68" s="26" t="s">
        <v>95</v>
      </c>
      <c r="D68" s="207">
        <v>0</v>
      </c>
      <c r="E68" s="207">
        <v>0</v>
      </c>
      <c r="F68" s="128">
        <f t="shared" si="30"/>
        <v>0</v>
      </c>
      <c r="G68" s="79" t="str">
        <f t="shared" si="31"/>
        <v/>
      </c>
      <c r="H68" s="212" t="s">
        <v>112</v>
      </c>
      <c r="I68" s="80" t="str">
        <f t="shared" si="32"/>
        <v/>
      </c>
      <c r="J68" s="208" t="s">
        <v>112</v>
      </c>
      <c r="K68" s="208" t="s">
        <v>112</v>
      </c>
      <c r="L68" s="81" t="str">
        <f t="shared" si="33"/>
        <v/>
      </c>
      <c r="Q68" s="16">
        <v>14</v>
      </c>
      <c r="R68" s="16">
        <v>15</v>
      </c>
      <c r="S68" s="16">
        <v>16</v>
      </c>
    </row>
    <row r="69" spans="2:22" s="16" customFormat="1" ht="18" customHeight="1" x14ac:dyDescent="0.2">
      <c r="B69" s="244"/>
      <c r="C69" s="26" t="s">
        <v>96</v>
      </c>
      <c r="D69" s="118"/>
      <c r="E69" s="118"/>
      <c r="F69" s="128" t="str">
        <f t="shared" si="30"/>
        <v/>
      </c>
      <c r="G69" s="79" t="str">
        <f t="shared" si="31"/>
        <v/>
      </c>
      <c r="H69" s="121"/>
      <c r="I69" s="80" t="str">
        <f t="shared" si="32"/>
        <v/>
      </c>
      <c r="J69" s="119"/>
      <c r="K69" s="119"/>
      <c r="L69" s="81" t="str">
        <f t="shared" si="33"/>
        <v/>
      </c>
    </row>
    <row r="70" spans="2:22" s="16" customFormat="1" ht="18" customHeight="1" x14ac:dyDescent="0.2">
      <c r="B70" s="244"/>
      <c r="C70" s="26" t="s">
        <v>97</v>
      </c>
      <c r="D70" s="118"/>
      <c r="E70" s="118"/>
      <c r="F70" s="128" t="str">
        <f t="shared" si="30"/>
        <v/>
      </c>
      <c r="G70" s="79" t="str">
        <f t="shared" si="31"/>
        <v/>
      </c>
      <c r="H70" s="121"/>
      <c r="I70" s="80" t="str">
        <f t="shared" si="32"/>
        <v/>
      </c>
      <c r="J70" s="119"/>
      <c r="K70" s="119"/>
      <c r="L70" s="81" t="str">
        <f t="shared" si="33"/>
        <v/>
      </c>
    </row>
    <row r="71" spans="2:22" s="16" customFormat="1" ht="18" customHeight="1" x14ac:dyDescent="0.2">
      <c r="B71" s="244"/>
      <c r="C71" s="26" t="s">
        <v>98</v>
      </c>
      <c r="D71" s="118"/>
      <c r="E71" s="118"/>
      <c r="F71" s="128" t="str">
        <f t="shared" si="30"/>
        <v/>
      </c>
      <c r="G71" s="79" t="str">
        <f t="shared" si="31"/>
        <v/>
      </c>
      <c r="H71" s="121"/>
      <c r="I71" s="80" t="str">
        <f t="shared" si="32"/>
        <v/>
      </c>
      <c r="J71" s="119"/>
      <c r="K71" s="119"/>
      <c r="L71" s="81" t="str">
        <f t="shared" si="33"/>
        <v/>
      </c>
    </row>
    <row r="72" spans="2:22" s="16" customFormat="1" ht="18" customHeight="1" x14ac:dyDescent="0.2">
      <c r="B72" s="244"/>
      <c r="C72" s="30" t="s">
        <v>108</v>
      </c>
      <c r="D72" s="117"/>
      <c r="E72" s="117"/>
      <c r="F72" s="95" t="str">
        <f t="shared" si="30"/>
        <v/>
      </c>
      <c r="G72" s="31" t="str">
        <f t="shared" si="31"/>
        <v/>
      </c>
      <c r="H72" s="122"/>
      <c r="I72" s="32" t="str">
        <f t="shared" si="32"/>
        <v/>
      </c>
      <c r="J72" s="120"/>
      <c r="K72" s="120"/>
      <c r="L72" s="34" t="str">
        <f t="shared" si="33"/>
        <v/>
      </c>
    </row>
    <row r="73" spans="2:22" s="20" customFormat="1" ht="19.5" customHeight="1" x14ac:dyDescent="0.2">
      <c r="B73" s="245"/>
      <c r="C73" s="226" t="s">
        <v>137</v>
      </c>
      <c r="D73" s="252" t="s">
        <v>112</v>
      </c>
      <c r="E73" s="253"/>
      <c r="F73" s="253"/>
      <c r="G73" s="253"/>
      <c r="H73" s="253"/>
      <c r="I73" s="253"/>
      <c r="J73" s="253"/>
      <c r="K73" s="253"/>
      <c r="L73" s="254"/>
      <c r="U73" s="159" t="e">
        <f>IF($P$2&lt;&gt;"",VLOOKUP($P$2,#REF!,30),"")</f>
        <v>#REF!</v>
      </c>
    </row>
    <row r="74" spans="2:22" s="16" customFormat="1" ht="18" customHeight="1" x14ac:dyDescent="0.2">
      <c r="B74" s="245"/>
      <c r="C74" s="65" t="s">
        <v>53</v>
      </c>
      <c r="D74" s="154">
        <v>0</v>
      </c>
      <c r="E74" s="154">
        <v>0</v>
      </c>
      <c r="F74" s="216">
        <f>IF(COUNT(D74:E74)&gt;0,SUM(D74:E74),"")</f>
        <v>0</v>
      </c>
      <c r="G74" s="66" t="str">
        <f>IF(D74&lt;&gt;"",IF(SUM(D74:E74)&lt;&gt;0,D74/SUM(D74:E74),""),"")</f>
        <v/>
      </c>
      <c r="H74" s="217" t="s">
        <v>112</v>
      </c>
      <c r="I74" s="68" t="str">
        <f>IF(H74&lt;&gt;"",IF(G74&lt;&gt;"",G74-H74,""),"")</f>
        <v/>
      </c>
      <c r="J74" s="218" t="s">
        <v>112</v>
      </c>
      <c r="K74" s="219" t="s">
        <v>112</v>
      </c>
      <c r="L74" s="70" t="str">
        <f>IF(K74&lt;&gt;"",IF(J74&lt;&gt;"",J74-K74,""),"")</f>
        <v/>
      </c>
      <c r="Q74" s="16">
        <v>18</v>
      </c>
      <c r="R74" s="16">
        <v>19</v>
      </c>
      <c r="S74" s="16">
        <v>20</v>
      </c>
      <c r="U74" s="160" t="s">
        <v>103</v>
      </c>
      <c r="V74" s="160" t="s">
        <v>106</v>
      </c>
    </row>
    <row r="75" spans="2:22" s="16" customFormat="1" ht="18" customHeight="1" x14ac:dyDescent="0.2">
      <c r="B75" s="245"/>
      <c r="C75" s="26" t="s">
        <v>54</v>
      </c>
      <c r="D75" s="154">
        <v>0</v>
      </c>
      <c r="E75" s="154">
        <v>0</v>
      </c>
      <c r="F75" s="128">
        <f t="shared" ref="F75:F81" si="34">IF(COUNT(D75:E75)&gt;0,SUM(D75:E75),"")</f>
        <v>0</v>
      </c>
      <c r="G75" s="27" t="str">
        <f t="shared" ref="G75:G81" si="35">IF(D75&lt;&gt;"",IF(SUM(D75:E75)&lt;&gt;0,D75/SUM(D75:E75),""),"")</f>
        <v/>
      </c>
      <c r="H75" s="210" t="s">
        <v>112</v>
      </c>
      <c r="I75" s="28" t="str">
        <f t="shared" ref="I75:I81" si="36">IF(H75&lt;&gt;"",IF(G75&lt;&gt;"",G75-H75,""),"")</f>
        <v/>
      </c>
      <c r="J75" s="168" t="s">
        <v>112</v>
      </c>
      <c r="K75" s="214" t="s">
        <v>112</v>
      </c>
      <c r="L75" s="29" t="str">
        <f t="shared" ref="L75:L81" si="37">IF(K75&lt;&gt;"",IF(J75&lt;&gt;"",J75-K75,""),"")</f>
        <v/>
      </c>
      <c r="Q75" s="16">
        <v>21</v>
      </c>
      <c r="R75" s="16">
        <v>22</v>
      </c>
      <c r="S75" s="16">
        <v>23</v>
      </c>
      <c r="U75" s="161">
        <v>1</v>
      </c>
      <c r="V75" s="162"/>
    </row>
    <row r="76" spans="2:22" s="16" customFormat="1" ht="18" customHeight="1" x14ac:dyDescent="0.2">
      <c r="B76" s="245"/>
      <c r="C76" s="26" t="s">
        <v>94</v>
      </c>
      <c r="D76" s="154">
        <v>0</v>
      </c>
      <c r="E76" s="154">
        <v>0</v>
      </c>
      <c r="F76" s="128">
        <f t="shared" si="34"/>
        <v>0</v>
      </c>
      <c r="G76" s="79" t="str">
        <f t="shared" si="35"/>
        <v/>
      </c>
      <c r="H76" s="211" t="s">
        <v>112</v>
      </c>
      <c r="I76" s="80" t="str">
        <f t="shared" si="36"/>
        <v/>
      </c>
      <c r="J76" s="168" t="s">
        <v>112</v>
      </c>
      <c r="K76" s="215" t="s">
        <v>112</v>
      </c>
      <c r="L76" s="81" t="str">
        <f t="shared" si="37"/>
        <v/>
      </c>
      <c r="Q76" s="16">
        <v>24</v>
      </c>
      <c r="R76" s="16">
        <v>25</v>
      </c>
      <c r="S76" s="16">
        <v>26</v>
      </c>
      <c r="U76" s="161">
        <v>2</v>
      </c>
      <c r="V76" s="163" t="s">
        <v>107</v>
      </c>
    </row>
    <row r="77" spans="2:22" s="16" customFormat="1" ht="18" customHeight="1" x14ac:dyDescent="0.2">
      <c r="B77" s="245"/>
      <c r="C77" s="26" t="s">
        <v>95</v>
      </c>
      <c r="D77" s="207">
        <v>0</v>
      </c>
      <c r="E77" s="207">
        <v>0</v>
      </c>
      <c r="F77" s="128">
        <f>IF(COUNT(D77:E77)&gt;0,SUM(D77:E77),"")</f>
        <v>0</v>
      </c>
      <c r="G77" s="79" t="str">
        <f>IF(D77&lt;&gt;"",IF(SUM(D77:E77)&lt;&gt;0,D77/SUM(D77:E77),""),"")</f>
        <v/>
      </c>
      <c r="H77" s="212" t="s">
        <v>112</v>
      </c>
      <c r="I77" s="80" t="str">
        <f t="shared" si="36"/>
        <v/>
      </c>
      <c r="J77" s="208" t="s">
        <v>112</v>
      </c>
      <c r="K77" s="208" t="s">
        <v>112</v>
      </c>
      <c r="L77" s="81" t="str">
        <f>IF(K77&lt;&gt;"",IF(J77&lt;&gt;"",J77-K77,""),"")</f>
        <v/>
      </c>
      <c r="Q77" s="16">
        <v>27</v>
      </c>
      <c r="R77" s="16">
        <v>28</v>
      </c>
      <c r="S77" s="16">
        <v>29</v>
      </c>
      <c r="U77" s="161">
        <v>3</v>
      </c>
      <c r="V77" s="163" t="s">
        <v>105</v>
      </c>
    </row>
    <row r="78" spans="2:22" s="16" customFormat="1" ht="18" customHeight="1" x14ac:dyDescent="0.2">
      <c r="B78" s="245"/>
      <c r="C78" s="26" t="s">
        <v>96</v>
      </c>
      <c r="D78" s="118"/>
      <c r="E78" s="118"/>
      <c r="F78" s="128" t="str">
        <f t="shared" si="34"/>
        <v/>
      </c>
      <c r="G78" s="79" t="str">
        <f t="shared" si="35"/>
        <v/>
      </c>
      <c r="H78" s="121"/>
      <c r="I78" s="80" t="str">
        <f t="shared" si="36"/>
        <v/>
      </c>
      <c r="J78" s="119"/>
      <c r="K78" s="119"/>
      <c r="L78" s="81" t="str">
        <f t="shared" si="37"/>
        <v/>
      </c>
      <c r="U78" s="161">
        <v>4</v>
      </c>
      <c r="V78" s="163" t="s">
        <v>104</v>
      </c>
    </row>
    <row r="79" spans="2:22" s="16" customFormat="1" ht="18" customHeight="1" x14ac:dyDescent="0.2">
      <c r="B79" s="245"/>
      <c r="C79" s="26" t="s">
        <v>97</v>
      </c>
      <c r="D79" s="118"/>
      <c r="E79" s="118"/>
      <c r="F79" s="128" t="str">
        <f t="shared" si="34"/>
        <v/>
      </c>
      <c r="G79" s="79" t="str">
        <f t="shared" si="35"/>
        <v/>
      </c>
      <c r="H79" s="121"/>
      <c r="I79" s="80" t="str">
        <f t="shared" si="36"/>
        <v/>
      </c>
      <c r="J79" s="119"/>
      <c r="K79" s="119"/>
      <c r="L79" s="81" t="str">
        <f t="shared" si="37"/>
        <v/>
      </c>
    </row>
    <row r="80" spans="2:22" s="16" customFormat="1" ht="18" customHeight="1" x14ac:dyDescent="0.2">
      <c r="B80" s="245"/>
      <c r="C80" s="26" t="s">
        <v>98</v>
      </c>
      <c r="D80" s="118"/>
      <c r="E80" s="118"/>
      <c r="F80" s="128" t="str">
        <f t="shared" si="34"/>
        <v/>
      </c>
      <c r="G80" s="79" t="str">
        <f t="shared" si="35"/>
        <v/>
      </c>
      <c r="H80" s="121"/>
      <c r="I80" s="80" t="str">
        <f t="shared" si="36"/>
        <v/>
      </c>
      <c r="J80" s="119"/>
      <c r="K80" s="119"/>
      <c r="L80" s="81" t="str">
        <f t="shared" si="37"/>
        <v/>
      </c>
    </row>
    <row r="81" spans="2:12" s="16" customFormat="1" ht="18" customHeight="1" x14ac:dyDescent="0.2">
      <c r="B81" s="245"/>
      <c r="C81" s="30" t="s">
        <v>108</v>
      </c>
      <c r="D81" s="117"/>
      <c r="E81" s="117"/>
      <c r="F81" s="95" t="str">
        <f t="shared" si="34"/>
        <v/>
      </c>
      <c r="G81" s="31" t="str">
        <f t="shared" si="35"/>
        <v/>
      </c>
      <c r="H81" s="122"/>
      <c r="I81" s="32" t="str">
        <f t="shared" si="36"/>
        <v/>
      </c>
      <c r="J81" s="120"/>
      <c r="K81" s="120"/>
      <c r="L81" s="34" t="str">
        <f t="shared" si="37"/>
        <v/>
      </c>
    </row>
    <row r="82" spans="2:12" s="41" customFormat="1" ht="19.5" customHeight="1" x14ac:dyDescent="0.2">
      <c r="B82" s="35"/>
      <c r="C82" s="35"/>
      <c r="D82" s="42" t="s">
        <v>102</v>
      </c>
      <c r="E82" s="36"/>
      <c r="F82" s="36"/>
      <c r="G82" s="36"/>
      <c r="H82" s="36"/>
      <c r="I82" s="36"/>
      <c r="J82" s="37"/>
      <c r="K82" s="38"/>
      <c r="L82" s="37"/>
    </row>
  </sheetData>
  <sheetProtection password="DC9F" sheet="1"/>
  <mergeCells count="13">
    <mergeCell ref="J62:L62"/>
    <mergeCell ref="D4:H4"/>
    <mergeCell ref="J4:L4"/>
    <mergeCell ref="B1:O1"/>
    <mergeCell ref="B62:B81"/>
    <mergeCell ref="I4:I5"/>
    <mergeCell ref="F62:F63"/>
    <mergeCell ref="B4:B59"/>
    <mergeCell ref="M4:O4"/>
    <mergeCell ref="B2:O2"/>
    <mergeCell ref="D62:E62"/>
    <mergeCell ref="G62:I62"/>
    <mergeCell ref="D73:L73"/>
  </mergeCells>
  <hyperlinks>
    <hyperlink ref="O3" location="Início!A1" display="Índice"/>
  </hyperlinks>
  <printOptions horizontalCentered="1"/>
  <pageMargins left="0.27559055118110237" right="0.51181102362204722" top="0.88" bottom="0.31496062992125984" header="0.15748031496062992" footer="0.31496062992125984"/>
  <pageSetup paperSize="9" scale="95" orientation="landscape" horizontalDpi="300" verticalDpi="300" r:id="rId1"/>
  <headerFooter>
    <oddFooter>&amp;R&amp;8Pág. &amp;P de &amp;N</oddFooter>
  </headerFooter>
  <rowBreaks count="1" manualBreakCount="1">
    <brk id="1"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4"/>
  <dimension ref="B1:L41"/>
  <sheetViews>
    <sheetView showGridLines="0" tabSelected="1" zoomScale="115" zoomScaleNormal="115" workbookViewId="0">
      <selection activeCell="I28" sqref="I28"/>
    </sheetView>
  </sheetViews>
  <sheetFormatPr defaultRowHeight="15" x14ac:dyDescent="0.25"/>
  <cols>
    <col min="1" max="1" width="2.7109375" style="17" customWidth="1"/>
    <col min="2" max="2" width="7.85546875" style="17" customWidth="1"/>
    <col min="3" max="3" width="17.28515625" style="17" customWidth="1"/>
    <col min="4" max="9" width="11" style="17" customWidth="1"/>
    <col min="10" max="12" width="9.140625" style="17" hidden="1" customWidth="1"/>
    <col min="13" max="16384" width="9.140625" style="17"/>
  </cols>
  <sheetData>
    <row r="1" spans="2:12" ht="33.75" customHeight="1" x14ac:dyDescent="0.25">
      <c r="B1" s="241" t="str">
        <f>IF(Início!C8&lt;&gt;"",Início!C8,"")</f>
        <v>Agrupamento de Escolas de Souselo</v>
      </c>
      <c r="C1" s="261"/>
      <c r="D1" s="261"/>
      <c r="E1" s="261"/>
      <c r="F1" s="261"/>
      <c r="G1" s="261"/>
      <c r="H1" s="261"/>
      <c r="I1" s="261"/>
    </row>
    <row r="2" spans="2:12" ht="36.75" customHeight="1" x14ac:dyDescent="0.25">
      <c r="B2" s="262" t="s">
        <v>64</v>
      </c>
      <c r="C2" s="263"/>
      <c r="D2" s="263"/>
      <c r="E2" s="263"/>
      <c r="F2" s="263"/>
      <c r="G2" s="263"/>
      <c r="H2" s="263"/>
      <c r="I2" s="263"/>
      <c r="J2" s="166">
        <f>IF(Início!H8&lt;&gt;"",Início!H8,"")</f>
        <v>1804553</v>
      </c>
    </row>
    <row r="3" spans="2:12" x14ac:dyDescent="0.25">
      <c r="I3" s="196" t="s">
        <v>125</v>
      </c>
    </row>
    <row r="4" spans="2:12" s="20" customFormat="1" ht="74.25" customHeight="1" x14ac:dyDescent="0.2">
      <c r="B4" s="257" t="s">
        <v>43</v>
      </c>
      <c r="C4" s="96" t="s">
        <v>44</v>
      </c>
      <c r="D4" s="43" t="s">
        <v>66</v>
      </c>
      <c r="E4" s="43" t="s">
        <v>67</v>
      </c>
      <c r="F4" s="43" t="s">
        <v>68</v>
      </c>
      <c r="G4" s="43" t="s">
        <v>71</v>
      </c>
      <c r="H4" s="43" t="s">
        <v>72</v>
      </c>
      <c r="I4" s="43" t="s">
        <v>69</v>
      </c>
    </row>
    <row r="5" spans="2:12" s="20" customFormat="1" ht="19.5" customHeight="1" x14ac:dyDescent="0.2">
      <c r="B5" s="258"/>
      <c r="C5" s="264" t="s">
        <v>65</v>
      </c>
      <c r="D5" s="265"/>
      <c r="E5" s="265"/>
      <c r="F5" s="265"/>
      <c r="G5" s="265"/>
      <c r="H5" s="265"/>
      <c r="I5" s="266"/>
    </row>
    <row r="6" spans="2:12" s="16" customFormat="1" ht="18" customHeight="1" x14ac:dyDescent="0.2">
      <c r="B6" s="258"/>
      <c r="C6" s="97" t="s">
        <v>53</v>
      </c>
      <c r="D6" s="152">
        <v>309</v>
      </c>
      <c r="E6" s="152">
        <v>17</v>
      </c>
      <c r="F6" s="44">
        <f>IF(AND(D6&lt;&gt;0,D6&lt;&gt;""),ROUND(E6/D6,4),"")</f>
        <v>5.5E-2</v>
      </c>
      <c r="G6" s="152">
        <v>309</v>
      </c>
      <c r="H6" s="152">
        <v>273</v>
      </c>
      <c r="I6" s="44">
        <f>IF(AND(G6&lt;&gt;0,G6&lt;&gt;""),ROUND(H6/G6,4),"")</f>
        <v>0.88349999999999995</v>
      </c>
      <c r="K6" s="16">
        <v>5</v>
      </c>
      <c r="L6" s="16">
        <v>6</v>
      </c>
    </row>
    <row r="7" spans="2:12" s="16" customFormat="1" ht="18" customHeight="1" x14ac:dyDescent="0.2">
      <c r="B7" s="258"/>
      <c r="C7" s="98" t="s">
        <v>54</v>
      </c>
      <c r="D7" s="153">
        <v>279</v>
      </c>
      <c r="E7" s="153">
        <v>13</v>
      </c>
      <c r="F7" s="45">
        <f t="shared" ref="F7:F13" si="0">IF(AND(D7&lt;&gt;0,D7&lt;&gt;""),ROUND(E7/D7,4),"")</f>
        <v>4.6600000000000003E-2</v>
      </c>
      <c r="G7" s="153">
        <v>279</v>
      </c>
      <c r="H7" s="153">
        <v>243</v>
      </c>
      <c r="I7" s="45">
        <f t="shared" ref="I7:I13" si="1">IF(AND(G7&lt;&gt;0,G7&lt;&gt;""),ROUND(H7/G7,4),"")</f>
        <v>0.871</v>
      </c>
      <c r="K7" s="16">
        <v>7</v>
      </c>
      <c r="L7" s="16">
        <v>8</v>
      </c>
    </row>
    <row r="8" spans="2:12" s="16" customFormat="1" ht="18" customHeight="1" x14ac:dyDescent="0.2">
      <c r="B8" s="258"/>
      <c r="C8" s="98" t="s">
        <v>94</v>
      </c>
      <c r="D8" s="153">
        <v>244</v>
      </c>
      <c r="E8" s="153">
        <v>12</v>
      </c>
      <c r="F8" s="45">
        <f t="shared" si="0"/>
        <v>4.9200000000000001E-2</v>
      </c>
      <c r="G8" s="153">
        <v>242</v>
      </c>
      <c r="H8" s="153">
        <v>202</v>
      </c>
      <c r="I8" s="45">
        <f t="shared" si="1"/>
        <v>0.8347</v>
      </c>
      <c r="K8" s="16">
        <v>9</v>
      </c>
      <c r="L8" s="16">
        <v>10</v>
      </c>
    </row>
    <row r="9" spans="2:12" s="16" customFormat="1" ht="18" customHeight="1" x14ac:dyDescent="0.2">
      <c r="B9" s="258"/>
      <c r="C9" s="98" t="s">
        <v>95</v>
      </c>
      <c r="D9" s="153">
        <v>231</v>
      </c>
      <c r="E9" s="153">
        <v>12</v>
      </c>
      <c r="F9" s="45">
        <f t="shared" si="0"/>
        <v>5.1900000000000002E-2</v>
      </c>
      <c r="G9" s="153">
        <v>231</v>
      </c>
      <c r="H9" s="153">
        <v>189</v>
      </c>
      <c r="I9" s="45">
        <f t="shared" si="1"/>
        <v>0.81820000000000004</v>
      </c>
      <c r="K9" s="16">
        <v>29</v>
      </c>
      <c r="L9" s="16">
        <v>30</v>
      </c>
    </row>
    <row r="10" spans="2:12" s="16" customFormat="1" ht="18" customHeight="1" x14ac:dyDescent="0.2">
      <c r="B10" s="258"/>
      <c r="C10" s="98" t="s">
        <v>96</v>
      </c>
      <c r="D10" s="110">
        <v>207</v>
      </c>
      <c r="E10" s="110">
        <v>11</v>
      </c>
      <c r="F10" s="45">
        <f t="shared" si="0"/>
        <v>5.3100000000000001E-2</v>
      </c>
      <c r="G10" s="110">
        <v>207</v>
      </c>
      <c r="H10" s="115">
        <v>183</v>
      </c>
      <c r="I10" s="45">
        <f t="shared" si="1"/>
        <v>0.8841</v>
      </c>
    </row>
    <row r="11" spans="2:12" s="16" customFormat="1" ht="18" customHeight="1" x14ac:dyDescent="0.2">
      <c r="B11" s="258"/>
      <c r="C11" s="98" t="s">
        <v>97</v>
      </c>
      <c r="D11" s="110"/>
      <c r="E11" s="110"/>
      <c r="F11" s="45" t="str">
        <f t="shared" si="0"/>
        <v/>
      </c>
      <c r="G11" s="110"/>
      <c r="H11" s="115"/>
      <c r="I11" s="45" t="str">
        <f t="shared" si="1"/>
        <v/>
      </c>
    </row>
    <row r="12" spans="2:12" s="16" customFormat="1" ht="18" customHeight="1" x14ac:dyDescent="0.2">
      <c r="B12" s="258"/>
      <c r="C12" s="98" t="s">
        <v>97</v>
      </c>
      <c r="D12" s="110"/>
      <c r="E12" s="110"/>
      <c r="F12" s="45" t="str">
        <f t="shared" si="0"/>
        <v/>
      </c>
      <c r="G12" s="110"/>
      <c r="H12" s="115"/>
      <c r="I12" s="45" t="str">
        <f t="shared" si="1"/>
        <v/>
      </c>
    </row>
    <row r="13" spans="2:12" s="16" customFormat="1" ht="18" customHeight="1" x14ac:dyDescent="0.2">
      <c r="B13" s="259"/>
      <c r="C13" s="99" t="s">
        <v>108</v>
      </c>
      <c r="D13" s="111"/>
      <c r="E13" s="111"/>
      <c r="F13" s="46" t="str">
        <f t="shared" si="0"/>
        <v/>
      </c>
      <c r="G13" s="111"/>
      <c r="H13" s="111"/>
      <c r="I13" s="46" t="str">
        <f t="shared" si="1"/>
        <v/>
      </c>
    </row>
    <row r="14" spans="2:12" s="20" customFormat="1" ht="19.5" customHeight="1" x14ac:dyDescent="0.2">
      <c r="B14" s="259"/>
      <c r="C14" s="264" t="s">
        <v>70</v>
      </c>
      <c r="D14" s="265"/>
      <c r="E14" s="265"/>
      <c r="F14" s="265"/>
      <c r="G14" s="265"/>
      <c r="H14" s="265"/>
      <c r="I14" s="266"/>
    </row>
    <row r="15" spans="2:12" s="16" customFormat="1" ht="18" customHeight="1" x14ac:dyDescent="0.2">
      <c r="B15" s="259"/>
      <c r="C15" s="97" t="s">
        <v>53</v>
      </c>
      <c r="D15" s="152">
        <v>149</v>
      </c>
      <c r="E15" s="152">
        <v>13</v>
      </c>
      <c r="F15" s="44">
        <f>IF(AND(D15&lt;&gt;0,D15&lt;&gt;""),ROUND(E15/D15,4),"")</f>
        <v>8.72E-2</v>
      </c>
      <c r="G15" s="152">
        <v>149</v>
      </c>
      <c r="H15" s="152">
        <v>82</v>
      </c>
      <c r="I15" s="44">
        <f>IF(AND(G15&lt;&gt;0,G15&lt;&gt;""),ROUND(H15/G15,4),"")</f>
        <v>0.55030000000000001</v>
      </c>
      <c r="K15" s="16">
        <v>11</v>
      </c>
      <c r="L15" s="16">
        <v>12</v>
      </c>
    </row>
    <row r="16" spans="2:12" s="16" customFormat="1" ht="18" customHeight="1" x14ac:dyDescent="0.2">
      <c r="B16" s="259"/>
      <c r="C16" s="98" t="s">
        <v>54</v>
      </c>
      <c r="D16" s="153">
        <v>171</v>
      </c>
      <c r="E16" s="153">
        <v>23</v>
      </c>
      <c r="F16" s="45">
        <f t="shared" ref="F16:F22" si="2">IF(AND(D16&lt;&gt;0,D16&lt;&gt;""),ROUND(E16/D16,4),"")</f>
        <v>0.13450000000000001</v>
      </c>
      <c r="G16" s="153">
        <v>171</v>
      </c>
      <c r="H16" s="153">
        <v>95</v>
      </c>
      <c r="I16" s="45">
        <f t="shared" ref="I16:I22" si="3">IF(AND(G16&lt;&gt;0,G16&lt;&gt;""),ROUND(H16/G16,4),"")</f>
        <v>0.55559999999999998</v>
      </c>
      <c r="K16" s="16">
        <v>13</v>
      </c>
      <c r="L16" s="16">
        <v>14</v>
      </c>
    </row>
    <row r="17" spans="2:12" s="16" customFormat="1" ht="18" customHeight="1" x14ac:dyDescent="0.2">
      <c r="B17" s="259"/>
      <c r="C17" s="98" t="s">
        <v>94</v>
      </c>
      <c r="D17" s="153">
        <v>181</v>
      </c>
      <c r="E17" s="153">
        <v>2</v>
      </c>
      <c r="F17" s="45">
        <f t="shared" si="2"/>
        <v>1.0999999999999999E-2</v>
      </c>
      <c r="G17" s="153">
        <v>180</v>
      </c>
      <c r="H17" s="153">
        <v>131</v>
      </c>
      <c r="I17" s="45">
        <f t="shared" si="3"/>
        <v>0.7278</v>
      </c>
      <c r="K17" s="16">
        <v>15</v>
      </c>
      <c r="L17" s="16">
        <v>16</v>
      </c>
    </row>
    <row r="18" spans="2:12" s="16" customFormat="1" ht="18" customHeight="1" x14ac:dyDescent="0.2">
      <c r="B18" s="259"/>
      <c r="C18" s="98" t="s">
        <v>95</v>
      </c>
      <c r="D18" s="153">
        <v>138</v>
      </c>
      <c r="E18" s="153">
        <v>6</v>
      </c>
      <c r="F18" s="45">
        <f t="shared" si="2"/>
        <v>4.3499999999999997E-2</v>
      </c>
      <c r="G18" s="153">
        <v>136</v>
      </c>
      <c r="H18" s="153">
        <v>107</v>
      </c>
      <c r="I18" s="45">
        <f t="shared" si="3"/>
        <v>0.78680000000000005</v>
      </c>
      <c r="K18" s="16">
        <v>31</v>
      </c>
      <c r="L18" s="16">
        <v>32</v>
      </c>
    </row>
    <row r="19" spans="2:12" s="16" customFormat="1" ht="18" customHeight="1" x14ac:dyDescent="0.2">
      <c r="B19" s="259"/>
      <c r="C19" s="98" t="s">
        <v>96</v>
      </c>
      <c r="D19" s="110">
        <v>124</v>
      </c>
      <c r="E19" s="110">
        <v>1</v>
      </c>
      <c r="F19" s="45">
        <f t="shared" si="2"/>
        <v>8.0999999999999996E-3</v>
      </c>
      <c r="G19" s="110">
        <v>124</v>
      </c>
      <c r="H19" s="115">
        <v>99</v>
      </c>
      <c r="I19" s="45">
        <f t="shared" si="3"/>
        <v>0.7984</v>
      </c>
    </row>
    <row r="20" spans="2:12" s="16" customFormat="1" ht="18" customHeight="1" x14ac:dyDescent="0.2">
      <c r="B20" s="259"/>
      <c r="C20" s="98" t="s">
        <v>97</v>
      </c>
      <c r="D20" s="110"/>
      <c r="E20" s="110"/>
      <c r="F20" s="45" t="str">
        <f t="shared" si="2"/>
        <v/>
      </c>
      <c r="G20" s="110"/>
      <c r="H20" s="115"/>
      <c r="I20" s="45" t="str">
        <f t="shared" si="3"/>
        <v/>
      </c>
    </row>
    <row r="21" spans="2:12" s="16" customFormat="1" ht="18" customHeight="1" x14ac:dyDescent="0.2">
      <c r="B21" s="259"/>
      <c r="C21" s="98" t="s">
        <v>97</v>
      </c>
      <c r="D21" s="110"/>
      <c r="E21" s="110"/>
      <c r="F21" s="45" t="str">
        <f t="shared" si="2"/>
        <v/>
      </c>
      <c r="G21" s="110"/>
      <c r="H21" s="115"/>
      <c r="I21" s="45" t="str">
        <f t="shared" si="3"/>
        <v/>
      </c>
    </row>
    <row r="22" spans="2:12" s="16" customFormat="1" ht="18" customHeight="1" x14ac:dyDescent="0.2">
      <c r="B22" s="259"/>
      <c r="C22" s="99" t="s">
        <v>108</v>
      </c>
      <c r="D22" s="111"/>
      <c r="E22" s="111"/>
      <c r="F22" s="46" t="str">
        <f t="shared" si="2"/>
        <v/>
      </c>
      <c r="G22" s="111"/>
      <c r="H22" s="111"/>
      <c r="I22" s="46" t="str">
        <f t="shared" si="3"/>
        <v/>
      </c>
    </row>
    <row r="23" spans="2:12" s="20" customFormat="1" ht="19.5" customHeight="1" x14ac:dyDescent="0.2">
      <c r="B23" s="259"/>
      <c r="C23" s="264" t="s">
        <v>73</v>
      </c>
      <c r="D23" s="265"/>
      <c r="E23" s="265"/>
      <c r="F23" s="265"/>
      <c r="G23" s="265"/>
      <c r="H23" s="265"/>
      <c r="I23" s="266"/>
    </row>
    <row r="24" spans="2:12" s="16" customFormat="1" ht="18" customHeight="1" x14ac:dyDescent="0.2">
      <c r="B24" s="259"/>
      <c r="C24" s="97" t="s">
        <v>53</v>
      </c>
      <c r="D24" s="152">
        <v>242</v>
      </c>
      <c r="E24" s="152">
        <v>36</v>
      </c>
      <c r="F24" s="44">
        <f>IF(AND(D24&lt;&gt;0,D24&lt;&gt;""),ROUND(E24/D24,4),"")</f>
        <v>0.14879999999999999</v>
      </c>
      <c r="G24" s="152">
        <v>241</v>
      </c>
      <c r="H24" s="152">
        <v>115</v>
      </c>
      <c r="I24" s="44">
        <f>IF(AND(G24&lt;&gt;0,G24&lt;&gt;""),ROUND(H24/G24,4),"")</f>
        <v>0.47720000000000001</v>
      </c>
      <c r="K24" s="16">
        <v>17</v>
      </c>
      <c r="L24" s="16">
        <v>18</v>
      </c>
    </row>
    <row r="25" spans="2:12" s="16" customFormat="1" ht="18" customHeight="1" x14ac:dyDescent="0.2">
      <c r="B25" s="259"/>
      <c r="C25" s="98" t="s">
        <v>54</v>
      </c>
      <c r="D25" s="153">
        <v>233</v>
      </c>
      <c r="E25" s="153">
        <v>49</v>
      </c>
      <c r="F25" s="45">
        <f t="shared" ref="F25:F31" si="4">IF(AND(D25&lt;&gt;0,D25&lt;&gt;""),ROUND(E25/D25,4),"")</f>
        <v>0.21029999999999999</v>
      </c>
      <c r="G25" s="153">
        <v>232</v>
      </c>
      <c r="H25" s="153">
        <v>89</v>
      </c>
      <c r="I25" s="45">
        <f t="shared" ref="I25:I31" si="5">IF(AND(G25&lt;&gt;0,G25&lt;&gt;""),ROUND(H25/G25,4),"")</f>
        <v>0.3836</v>
      </c>
      <c r="K25" s="16">
        <v>19</v>
      </c>
      <c r="L25" s="16">
        <v>20</v>
      </c>
    </row>
    <row r="26" spans="2:12" s="16" customFormat="1" ht="18" customHeight="1" x14ac:dyDescent="0.2">
      <c r="B26" s="259"/>
      <c r="C26" s="98" t="s">
        <v>94</v>
      </c>
      <c r="D26" s="153">
        <v>209</v>
      </c>
      <c r="E26" s="153">
        <v>30</v>
      </c>
      <c r="F26" s="45">
        <f t="shared" si="4"/>
        <v>0.14349999999999999</v>
      </c>
      <c r="G26" s="153">
        <v>205</v>
      </c>
      <c r="H26" s="153">
        <v>88</v>
      </c>
      <c r="I26" s="45">
        <f t="shared" si="5"/>
        <v>0.42930000000000001</v>
      </c>
      <c r="K26" s="16">
        <v>21</v>
      </c>
      <c r="L26" s="16">
        <v>22</v>
      </c>
    </row>
    <row r="27" spans="2:12" s="16" customFormat="1" ht="18" customHeight="1" x14ac:dyDescent="0.2">
      <c r="B27" s="259"/>
      <c r="C27" s="98" t="s">
        <v>95</v>
      </c>
      <c r="D27" s="153">
        <v>227</v>
      </c>
      <c r="E27" s="153">
        <v>50</v>
      </c>
      <c r="F27" s="45">
        <f t="shared" si="4"/>
        <v>0.2203</v>
      </c>
      <c r="G27" s="153">
        <v>221</v>
      </c>
      <c r="H27" s="153">
        <v>97</v>
      </c>
      <c r="I27" s="45">
        <f t="shared" si="5"/>
        <v>0.43890000000000001</v>
      </c>
      <c r="K27" s="16">
        <v>33</v>
      </c>
      <c r="L27" s="16">
        <v>34</v>
      </c>
    </row>
    <row r="28" spans="2:12" s="16" customFormat="1" ht="18" customHeight="1" x14ac:dyDescent="0.2">
      <c r="B28" s="259"/>
      <c r="C28" s="98" t="s">
        <v>96</v>
      </c>
      <c r="D28" s="110">
        <v>238</v>
      </c>
      <c r="E28" s="110">
        <v>4</v>
      </c>
      <c r="F28" s="45">
        <f t="shared" si="4"/>
        <v>1.6799999999999999E-2</v>
      </c>
      <c r="G28" s="110">
        <v>238</v>
      </c>
      <c r="H28" s="115">
        <v>127</v>
      </c>
      <c r="I28" s="45">
        <f t="shared" si="5"/>
        <v>0.53359999999999996</v>
      </c>
    </row>
    <row r="29" spans="2:12" s="16" customFormat="1" ht="18" customHeight="1" x14ac:dyDescent="0.2">
      <c r="B29" s="259"/>
      <c r="C29" s="98" t="s">
        <v>97</v>
      </c>
      <c r="D29" s="110"/>
      <c r="E29" s="110"/>
      <c r="F29" s="45" t="str">
        <f t="shared" si="4"/>
        <v/>
      </c>
      <c r="G29" s="110"/>
      <c r="H29" s="115"/>
      <c r="I29" s="45" t="str">
        <f t="shared" si="5"/>
        <v/>
      </c>
    </row>
    <row r="30" spans="2:12" s="16" customFormat="1" ht="18" customHeight="1" x14ac:dyDescent="0.2">
      <c r="B30" s="259"/>
      <c r="C30" s="98" t="s">
        <v>97</v>
      </c>
      <c r="D30" s="110"/>
      <c r="E30" s="110"/>
      <c r="F30" s="45" t="str">
        <f t="shared" si="4"/>
        <v/>
      </c>
      <c r="G30" s="110"/>
      <c r="H30" s="115"/>
      <c r="I30" s="45" t="str">
        <f t="shared" si="5"/>
        <v/>
      </c>
    </row>
    <row r="31" spans="2:12" s="16" customFormat="1" ht="18" customHeight="1" x14ac:dyDescent="0.2">
      <c r="B31" s="259"/>
      <c r="C31" s="99" t="s">
        <v>108</v>
      </c>
      <c r="D31" s="111"/>
      <c r="E31" s="111"/>
      <c r="F31" s="46" t="str">
        <f t="shared" si="4"/>
        <v/>
      </c>
      <c r="G31" s="111"/>
      <c r="H31" s="111"/>
      <c r="I31" s="46" t="str">
        <f t="shared" si="5"/>
        <v/>
      </c>
    </row>
    <row r="32" spans="2:12" s="20" customFormat="1" ht="19.5" customHeight="1" x14ac:dyDescent="0.2">
      <c r="B32" s="259"/>
      <c r="C32" s="264" t="s">
        <v>74</v>
      </c>
      <c r="D32" s="265"/>
      <c r="E32" s="265"/>
      <c r="F32" s="265"/>
      <c r="G32" s="265"/>
      <c r="H32" s="265"/>
      <c r="I32" s="266"/>
    </row>
    <row r="33" spans="2:12" s="16" customFormat="1" ht="18" customHeight="1" x14ac:dyDescent="0.2">
      <c r="B33" s="259"/>
      <c r="C33" s="97" t="s">
        <v>53</v>
      </c>
      <c r="D33" s="152" t="s">
        <v>112</v>
      </c>
      <c r="E33" s="152" t="s">
        <v>112</v>
      </c>
      <c r="F33" s="44" t="str">
        <f>IF(AND(D33&lt;&gt;0,D33&lt;&gt;""),ROUND(E33/D33,4),"")</f>
        <v/>
      </c>
      <c r="G33" s="152">
        <v>0</v>
      </c>
      <c r="H33" s="152">
        <v>0</v>
      </c>
      <c r="I33" s="44" t="str">
        <f>IF(AND(G33&lt;&gt;0,G33&lt;&gt;""),ROUND(H33/G33,4),"")</f>
        <v/>
      </c>
      <c r="K33" s="16">
        <v>23</v>
      </c>
      <c r="L33" s="16">
        <v>24</v>
      </c>
    </row>
    <row r="34" spans="2:12" s="16" customFormat="1" ht="18" customHeight="1" x14ac:dyDescent="0.2">
      <c r="B34" s="259"/>
      <c r="C34" s="98" t="s">
        <v>54</v>
      </c>
      <c r="D34" s="153">
        <v>0</v>
      </c>
      <c r="E34" s="153">
        <v>0</v>
      </c>
      <c r="F34" s="45" t="str">
        <f t="shared" ref="F34:F40" si="6">IF(AND(D34&lt;&gt;0,D34&lt;&gt;""),ROUND(E34/D34,4),"")</f>
        <v/>
      </c>
      <c r="G34" s="153">
        <v>0</v>
      </c>
      <c r="H34" s="153">
        <v>0</v>
      </c>
      <c r="I34" s="45" t="str">
        <f t="shared" ref="I34:I40" si="7">IF(AND(G34&lt;&gt;0,G34&lt;&gt;""),ROUND(H34/G34,4),"")</f>
        <v/>
      </c>
      <c r="K34" s="16">
        <v>25</v>
      </c>
      <c r="L34" s="16">
        <v>26</v>
      </c>
    </row>
    <row r="35" spans="2:12" s="16" customFormat="1" ht="18" customHeight="1" x14ac:dyDescent="0.2">
      <c r="B35" s="259"/>
      <c r="C35" s="98" t="s">
        <v>94</v>
      </c>
      <c r="D35" s="153">
        <v>0</v>
      </c>
      <c r="E35" s="153">
        <v>0</v>
      </c>
      <c r="F35" s="45" t="str">
        <f t="shared" si="6"/>
        <v/>
      </c>
      <c r="G35" s="153">
        <v>0</v>
      </c>
      <c r="H35" s="153">
        <v>0</v>
      </c>
      <c r="I35" s="45" t="str">
        <f t="shared" si="7"/>
        <v/>
      </c>
      <c r="K35" s="16">
        <v>27</v>
      </c>
      <c r="L35" s="16">
        <v>28</v>
      </c>
    </row>
    <row r="36" spans="2:12" s="16" customFormat="1" ht="18" customHeight="1" x14ac:dyDescent="0.2">
      <c r="B36" s="259"/>
      <c r="C36" s="98" t="s">
        <v>95</v>
      </c>
      <c r="D36" s="153">
        <v>0</v>
      </c>
      <c r="E36" s="153">
        <v>0</v>
      </c>
      <c r="F36" s="45" t="str">
        <f t="shared" si="6"/>
        <v/>
      </c>
      <c r="G36" s="153">
        <v>0</v>
      </c>
      <c r="H36" s="153">
        <v>0</v>
      </c>
      <c r="I36" s="45" t="str">
        <f t="shared" si="7"/>
        <v/>
      </c>
      <c r="K36" s="16">
        <v>35</v>
      </c>
      <c r="L36" s="16">
        <v>36</v>
      </c>
    </row>
    <row r="37" spans="2:12" s="16" customFormat="1" ht="18" customHeight="1" x14ac:dyDescent="0.2">
      <c r="B37" s="259"/>
      <c r="C37" s="98" t="s">
        <v>96</v>
      </c>
      <c r="D37" s="110"/>
      <c r="E37" s="110"/>
      <c r="F37" s="45" t="str">
        <f t="shared" si="6"/>
        <v/>
      </c>
      <c r="G37" s="110"/>
      <c r="H37" s="115"/>
      <c r="I37" s="45" t="str">
        <f t="shared" si="7"/>
        <v/>
      </c>
    </row>
    <row r="38" spans="2:12" s="16" customFormat="1" ht="18" customHeight="1" x14ac:dyDescent="0.2">
      <c r="B38" s="259"/>
      <c r="C38" s="98" t="s">
        <v>97</v>
      </c>
      <c r="D38" s="110"/>
      <c r="E38" s="110"/>
      <c r="F38" s="45" t="str">
        <f t="shared" si="6"/>
        <v/>
      </c>
      <c r="G38" s="110"/>
      <c r="H38" s="115"/>
      <c r="I38" s="45" t="str">
        <f t="shared" si="7"/>
        <v/>
      </c>
    </row>
    <row r="39" spans="2:12" s="16" customFormat="1" ht="18" customHeight="1" x14ac:dyDescent="0.2">
      <c r="B39" s="259"/>
      <c r="C39" s="98" t="s">
        <v>97</v>
      </c>
      <c r="D39" s="110"/>
      <c r="E39" s="110"/>
      <c r="F39" s="45" t="str">
        <f t="shared" si="6"/>
        <v/>
      </c>
      <c r="G39" s="110"/>
      <c r="H39" s="115"/>
      <c r="I39" s="45" t="str">
        <f t="shared" si="7"/>
        <v/>
      </c>
    </row>
    <row r="40" spans="2:12" s="16" customFormat="1" ht="18" customHeight="1" x14ac:dyDescent="0.2">
      <c r="B40" s="260"/>
      <c r="C40" s="99" t="s">
        <v>108</v>
      </c>
      <c r="D40" s="111"/>
      <c r="E40" s="111"/>
      <c r="F40" s="46" t="str">
        <f t="shared" si="6"/>
        <v/>
      </c>
      <c r="G40" s="111"/>
      <c r="H40" s="111"/>
      <c r="I40" s="46" t="str">
        <f t="shared" si="7"/>
        <v/>
      </c>
    </row>
    <row r="41" spans="2:12" s="41" customFormat="1" ht="73.5" customHeight="1" x14ac:dyDescent="0.2">
      <c r="B41" s="255" t="s">
        <v>100</v>
      </c>
      <c r="C41" s="256"/>
      <c r="D41" s="255" t="s">
        <v>101</v>
      </c>
      <c r="E41" s="255"/>
      <c r="F41" s="255"/>
      <c r="G41" s="255" t="s">
        <v>99</v>
      </c>
      <c r="H41" s="256"/>
      <c r="I41" s="256"/>
    </row>
  </sheetData>
  <sheetProtection password="DC9F" sheet="1"/>
  <mergeCells count="10">
    <mergeCell ref="B41:C41"/>
    <mergeCell ref="D41:F41"/>
    <mergeCell ref="G41:I41"/>
    <mergeCell ref="B4:B40"/>
    <mergeCell ref="B1:I1"/>
    <mergeCell ref="B2:I2"/>
    <mergeCell ref="C5:I5"/>
    <mergeCell ref="C14:I14"/>
    <mergeCell ref="C23:I23"/>
    <mergeCell ref="C32:I32"/>
  </mergeCells>
  <hyperlinks>
    <hyperlink ref="I3" location="Início!A1" display="Índice"/>
  </hyperlinks>
  <printOptions horizontalCentered="1"/>
  <pageMargins left="0.27559055118110237" right="0.51181102362204722" top="0.88" bottom="0.31496062992125984" header="0.15748031496062992" footer="0.31496062992125984"/>
  <pageSetup paperSize="9" scale="95" orientation="landscape" horizontalDpi="300" verticalDpi="300" r:id="rId1"/>
  <headerFooter>
    <oddFooter>&amp;R&amp;8Pág. &amp;P de &amp;N</oddFooter>
  </headerFooter>
  <rowBreaks count="1" manualBreakCount="1">
    <brk id="1"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5"/>
  <dimension ref="B1:R33"/>
  <sheetViews>
    <sheetView showGridLines="0" zoomScale="115" zoomScaleNormal="115" workbookViewId="0">
      <selection activeCell="F27" sqref="F27"/>
    </sheetView>
  </sheetViews>
  <sheetFormatPr defaultRowHeight="15" x14ac:dyDescent="0.25"/>
  <cols>
    <col min="1" max="1" width="2.7109375" style="17" customWidth="1"/>
    <col min="2" max="2" width="7.85546875" style="17" customWidth="1"/>
    <col min="3" max="3" width="17.28515625" style="17" customWidth="1"/>
    <col min="4" max="9" width="11" style="17" customWidth="1"/>
    <col min="10" max="18" width="9.140625" style="17" hidden="1" customWidth="1"/>
    <col min="19" max="19" width="0" style="17" hidden="1" customWidth="1"/>
    <col min="20" max="16384" width="9.140625" style="17"/>
  </cols>
  <sheetData>
    <row r="1" spans="2:15" ht="34.5" customHeight="1" x14ac:dyDescent="0.25">
      <c r="B1" s="241" t="str">
        <f>IF(Início!C8&lt;&gt;"",Início!C8,"")</f>
        <v>Agrupamento de Escolas de Souselo</v>
      </c>
      <c r="C1" s="261"/>
      <c r="D1" s="261"/>
      <c r="E1" s="261"/>
      <c r="F1" s="261"/>
      <c r="G1" s="261"/>
      <c r="H1" s="261"/>
      <c r="I1" s="261"/>
    </row>
    <row r="2" spans="2:15" ht="36.75" customHeight="1" x14ac:dyDescent="0.25">
      <c r="B2" s="267" t="s">
        <v>75</v>
      </c>
      <c r="C2" s="263"/>
      <c r="D2" s="263"/>
      <c r="E2" s="263"/>
      <c r="F2" s="263"/>
      <c r="G2" s="263"/>
      <c r="H2" s="263"/>
      <c r="I2" s="263"/>
      <c r="J2" s="166">
        <f>IF(Início!H8&lt;&gt;"",Início!H8,"")</f>
        <v>1804553</v>
      </c>
    </row>
    <row r="3" spans="2:15" ht="21.75" customHeight="1" x14ac:dyDescent="0.25">
      <c r="I3" s="196" t="s">
        <v>125</v>
      </c>
    </row>
    <row r="4" spans="2:15" s="16" customFormat="1" ht="19.5" customHeight="1" x14ac:dyDescent="0.2">
      <c r="B4" s="275" t="s">
        <v>43</v>
      </c>
      <c r="C4" s="101"/>
      <c r="D4" s="271" t="s">
        <v>76</v>
      </c>
      <c r="E4" s="272"/>
      <c r="F4" s="272"/>
      <c r="G4" s="272"/>
      <c r="H4" s="273"/>
      <c r="I4" s="274" t="s">
        <v>7</v>
      </c>
    </row>
    <row r="5" spans="2:15" s="20" customFormat="1" ht="88.5" customHeight="1" x14ac:dyDescent="0.2">
      <c r="B5" s="276"/>
      <c r="C5" s="102" t="s">
        <v>44</v>
      </c>
      <c r="D5" s="197" t="s">
        <v>77</v>
      </c>
      <c r="E5" s="197" t="s">
        <v>78</v>
      </c>
      <c r="F5" s="197" t="s">
        <v>79</v>
      </c>
      <c r="G5" s="197" t="s">
        <v>80</v>
      </c>
      <c r="H5" s="198" t="s">
        <v>81</v>
      </c>
      <c r="I5" s="274"/>
    </row>
    <row r="6" spans="2:15" s="20" customFormat="1" ht="19.5" customHeight="1" x14ac:dyDescent="0.2">
      <c r="B6" s="276"/>
      <c r="C6" s="268" t="s">
        <v>70</v>
      </c>
      <c r="D6" s="269"/>
      <c r="E6" s="269"/>
      <c r="F6" s="269"/>
      <c r="G6" s="269"/>
      <c r="H6" s="269"/>
      <c r="I6" s="270"/>
    </row>
    <row r="7" spans="2:15" s="16" customFormat="1" ht="18" customHeight="1" x14ac:dyDescent="0.2">
      <c r="B7" s="276"/>
      <c r="C7" s="103" t="s">
        <v>53</v>
      </c>
      <c r="D7" s="152">
        <v>149</v>
      </c>
      <c r="E7" s="152">
        <v>0</v>
      </c>
      <c r="F7" s="152">
        <v>0</v>
      </c>
      <c r="G7" s="152">
        <v>0</v>
      </c>
      <c r="H7" s="47">
        <f>IF(AND(D7&lt;&gt;"",D7&lt;&gt;0),SUM(E7:G7),"")</f>
        <v>0</v>
      </c>
      <c r="I7" s="48">
        <f>IF(AND(D7&lt;&gt;"",D7&lt;&gt;0),ROUND(H7/D7,4),"")</f>
        <v>0</v>
      </c>
      <c r="K7" s="16">
        <v>1</v>
      </c>
      <c r="L7" s="16">
        <v>8</v>
      </c>
      <c r="M7" s="16">
        <v>9</v>
      </c>
      <c r="N7" s="16">
        <v>10</v>
      </c>
      <c r="O7" s="16">
        <v>11</v>
      </c>
    </row>
    <row r="8" spans="2:15" s="16" customFormat="1" ht="18" customHeight="1" x14ac:dyDescent="0.2">
      <c r="B8" s="276"/>
      <c r="C8" s="104" t="s">
        <v>54</v>
      </c>
      <c r="D8" s="153">
        <v>171</v>
      </c>
      <c r="E8" s="153">
        <v>0</v>
      </c>
      <c r="F8" s="153">
        <v>0</v>
      </c>
      <c r="G8" s="153">
        <v>0</v>
      </c>
      <c r="H8" s="85">
        <f t="shared" ref="H8:H14" si="0">IF(AND(D8&lt;&gt;"",D8&lt;&gt;0),SUM(E8:G8),"")</f>
        <v>0</v>
      </c>
      <c r="I8" s="86">
        <f t="shared" ref="I8:I14" si="1">IF(AND(D8&lt;&gt;"",D8&lt;&gt;0),ROUND(H8/D8,4),"")</f>
        <v>0</v>
      </c>
      <c r="K8" s="16">
        <v>2</v>
      </c>
      <c r="L8" s="16">
        <v>8</v>
      </c>
      <c r="M8" s="16">
        <v>9</v>
      </c>
      <c r="N8" s="16">
        <v>10</v>
      </c>
      <c r="O8" s="16">
        <v>11</v>
      </c>
    </row>
    <row r="9" spans="2:15" s="16" customFormat="1" ht="18" customHeight="1" x14ac:dyDescent="0.2">
      <c r="B9" s="276"/>
      <c r="C9" s="104" t="s">
        <v>94</v>
      </c>
      <c r="D9" s="153">
        <v>181</v>
      </c>
      <c r="E9" s="153">
        <v>0</v>
      </c>
      <c r="F9" s="153">
        <v>0</v>
      </c>
      <c r="G9" s="153">
        <v>0</v>
      </c>
      <c r="H9" s="85">
        <f t="shared" si="0"/>
        <v>0</v>
      </c>
      <c r="I9" s="86">
        <f t="shared" si="1"/>
        <v>0</v>
      </c>
      <c r="K9" s="16">
        <v>3</v>
      </c>
      <c r="L9" s="16">
        <v>8</v>
      </c>
      <c r="M9" s="16">
        <v>9</v>
      </c>
      <c r="N9" s="16">
        <v>10</v>
      </c>
      <c r="O9" s="16">
        <v>11</v>
      </c>
    </row>
    <row r="10" spans="2:15" s="16" customFormat="1" ht="18" customHeight="1" x14ac:dyDescent="0.2">
      <c r="B10" s="276"/>
      <c r="C10" s="104" t="s">
        <v>95</v>
      </c>
      <c r="D10" s="153">
        <v>138</v>
      </c>
      <c r="E10" s="153">
        <v>1</v>
      </c>
      <c r="F10" s="153">
        <v>0</v>
      </c>
      <c r="G10" s="153">
        <v>0</v>
      </c>
      <c r="H10" s="85">
        <f t="shared" si="0"/>
        <v>1</v>
      </c>
      <c r="I10" s="86">
        <f t="shared" si="1"/>
        <v>7.1999999999999998E-3</v>
      </c>
      <c r="K10" s="16">
        <v>4</v>
      </c>
      <c r="L10" s="16">
        <v>8</v>
      </c>
      <c r="M10" s="16">
        <v>9</v>
      </c>
      <c r="N10" s="16">
        <v>10</v>
      </c>
      <c r="O10" s="16">
        <v>11</v>
      </c>
    </row>
    <row r="11" spans="2:15" s="16" customFormat="1" ht="18" customHeight="1" x14ac:dyDescent="0.2">
      <c r="B11" s="276"/>
      <c r="C11" s="104" t="s">
        <v>96</v>
      </c>
      <c r="D11" s="112">
        <v>124</v>
      </c>
      <c r="E11" s="112">
        <v>0</v>
      </c>
      <c r="F11" s="112">
        <v>0</v>
      </c>
      <c r="G11" s="112">
        <v>0</v>
      </c>
      <c r="H11" s="85">
        <f t="shared" si="0"/>
        <v>0</v>
      </c>
      <c r="I11" s="86">
        <f t="shared" si="1"/>
        <v>0</v>
      </c>
    </row>
    <row r="12" spans="2:15" s="16" customFormat="1" ht="18" customHeight="1" x14ac:dyDescent="0.2">
      <c r="B12" s="276"/>
      <c r="C12" s="105" t="s">
        <v>97</v>
      </c>
      <c r="D12" s="113"/>
      <c r="E12" s="113"/>
      <c r="F12" s="113"/>
      <c r="G12" s="113"/>
      <c r="H12" s="49" t="str">
        <f t="shared" si="0"/>
        <v/>
      </c>
      <c r="I12" s="50" t="str">
        <f t="shared" si="1"/>
        <v/>
      </c>
    </row>
    <row r="13" spans="2:15" s="16" customFormat="1" ht="18" customHeight="1" x14ac:dyDescent="0.2">
      <c r="B13" s="276"/>
      <c r="C13" s="105" t="s">
        <v>98</v>
      </c>
      <c r="D13" s="113"/>
      <c r="E13" s="113"/>
      <c r="F13" s="113"/>
      <c r="G13" s="113"/>
      <c r="H13" s="49" t="str">
        <f t="shared" si="0"/>
        <v/>
      </c>
      <c r="I13" s="50" t="str">
        <f t="shared" si="1"/>
        <v/>
      </c>
    </row>
    <row r="14" spans="2:15" s="16" customFormat="1" ht="18" customHeight="1" x14ac:dyDescent="0.2">
      <c r="B14" s="276"/>
      <c r="C14" s="100" t="s">
        <v>108</v>
      </c>
      <c r="D14" s="114"/>
      <c r="E14" s="114"/>
      <c r="F14" s="114"/>
      <c r="G14" s="114"/>
      <c r="H14" s="51" t="str">
        <f t="shared" si="0"/>
        <v/>
      </c>
      <c r="I14" s="52" t="str">
        <f t="shared" si="1"/>
        <v/>
      </c>
    </row>
    <row r="15" spans="2:15" s="20" customFormat="1" ht="19.5" customHeight="1" x14ac:dyDescent="0.2">
      <c r="B15" s="277"/>
      <c r="C15" s="268" t="s">
        <v>73</v>
      </c>
      <c r="D15" s="269"/>
      <c r="E15" s="269"/>
      <c r="F15" s="269"/>
      <c r="G15" s="269"/>
      <c r="H15" s="269"/>
      <c r="I15" s="270"/>
    </row>
    <row r="16" spans="2:15" s="16" customFormat="1" ht="18" customHeight="1" x14ac:dyDescent="0.2">
      <c r="B16" s="277"/>
      <c r="C16" s="103" t="s">
        <v>53</v>
      </c>
      <c r="D16" s="152">
        <v>257</v>
      </c>
      <c r="E16" s="152">
        <v>0</v>
      </c>
      <c r="F16" s="152">
        <v>1</v>
      </c>
      <c r="G16" s="152">
        <v>0</v>
      </c>
      <c r="H16" s="47">
        <f>IF(AND(D16&lt;&gt;"",D16&lt;&gt;0),SUM(E16:G16),"")</f>
        <v>1</v>
      </c>
      <c r="I16" s="48">
        <f>IF(AND(D16&lt;&gt;"",D16&lt;&gt;0),ROUND(H16/D16,4),"")</f>
        <v>3.8999999999999998E-3</v>
      </c>
      <c r="K16" s="16">
        <v>1</v>
      </c>
      <c r="L16" s="16">
        <v>12</v>
      </c>
      <c r="M16" s="16">
        <v>13</v>
      </c>
      <c r="N16" s="16">
        <v>14</v>
      </c>
      <c r="O16" s="16">
        <v>15</v>
      </c>
    </row>
    <row r="17" spans="2:15" s="16" customFormat="1" ht="18" customHeight="1" x14ac:dyDescent="0.2">
      <c r="B17" s="277"/>
      <c r="C17" s="104" t="s">
        <v>54</v>
      </c>
      <c r="D17" s="153">
        <v>233</v>
      </c>
      <c r="E17" s="153">
        <v>0</v>
      </c>
      <c r="F17" s="153">
        <v>0</v>
      </c>
      <c r="G17" s="153">
        <v>0</v>
      </c>
      <c r="H17" s="85">
        <f t="shared" ref="H17:H23" si="2">IF(AND(D17&lt;&gt;"",D17&lt;&gt;0),SUM(E17:G17),"")</f>
        <v>0</v>
      </c>
      <c r="I17" s="86">
        <f t="shared" ref="I17:I23" si="3">IF(AND(D17&lt;&gt;"",D17&lt;&gt;0),ROUND(H17/D17,4),"")</f>
        <v>0</v>
      </c>
      <c r="K17" s="16">
        <v>2</v>
      </c>
      <c r="L17" s="16">
        <v>12</v>
      </c>
      <c r="M17" s="16">
        <v>13</v>
      </c>
      <c r="N17" s="16">
        <v>14</v>
      </c>
      <c r="O17" s="16">
        <v>15</v>
      </c>
    </row>
    <row r="18" spans="2:15" s="16" customFormat="1" ht="18" customHeight="1" x14ac:dyDescent="0.2">
      <c r="B18" s="277"/>
      <c r="C18" s="104" t="s">
        <v>94</v>
      </c>
      <c r="D18" s="153">
        <v>209</v>
      </c>
      <c r="E18" s="153">
        <v>0</v>
      </c>
      <c r="F18" s="153">
        <v>0</v>
      </c>
      <c r="G18" s="153">
        <v>0</v>
      </c>
      <c r="H18" s="85">
        <f t="shared" si="2"/>
        <v>0</v>
      </c>
      <c r="I18" s="86">
        <f t="shared" si="3"/>
        <v>0</v>
      </c>
      <c r="K18" s="16">
        <v>3</v>
      </c>
      <c r="L18" s="16">
        <v>12</v>
      </c>
      <c r="M18" s="16">
        <v>13</v>
      </c>
      <c r="N18" s="16">
        <v>14</v>
      </c>
      <c r="O18" s="16">
        <v>15</v>
      </c>
    </row>
    <row r="19" spans="2:15" s="16" customFormat="1" ht="18" customHeight="1" x14ac:dyDescent="0.2">
      <c r="B19" s="277"/>
      <c r="C19" s="104" t="s">
        <v>95</v>
      </c>
      <c r="D19" s="153">
        <v>248</v>
      </c>
      <c r="E19" s="153">
        <v>0</v>
      </c>
      <c r="F19" s="153">
        <v>0</v>
      </c>
      <c r="G19" s="153">
        <v>0</v>
      </c>
      <c r="H19" s="85">
        <f t="shared" si="2"/>
        <v>0</v>
      </c>
      <c r="I19" s="86">
        <f t="shared" si="3"/>
        <v>0</v>
      </c>
      <c r="K19" s="16">
        <v>4</v>
      </c>
      <c r="L19" s="16">
        <v>12</v>
      </c>
      <c r="M19" s="16">
        <v>13</v>
      </c>
      <c r="N19" s="16">
        <v>14</v>
      </c>
      <c r="O19" s="16">
        <v>15</v>
      </c>
    </row>
    <row r="20" spans="2:15" s="16" customFormat="1" ht="18" customHeight="1" x14ac:dyDescent="0.2">
      <c r="B20" s="277"/>
      <c r="C20" s="104" t="s">
        <v>96</v>
      </c>
      <c r="D20" s="112">
        <v>238</v>
      </c>
      <c r="E20" s="112">
        <v>0</v>
      </c>
      <c r="F20" s="112">
        <v>0</v>
      </c>
      <c r="G20" s="112">
        <v>0</v>
      </c>
      <c r="H20" s="85">
        <f t="shared" si="2"/>
        <v>0</v>
      </c>
      <c r="I20" s="86">
        <f t="shared" si="3"/>
        <v>0</v>
      </c>
    </row>
    <row r="21" spans="2:15" s="16" customFormat="1" ht="18" customHeight="1" x14ac:dyDescent="0.2">
      <c r="B21" s="277"/>
      <c r="C21" s="105" t="s">
        <v>97</v>
      </c>
      <c r="D21" s="113"/>
      <c r="E21" s="113"/>
      <c r="F21" s="113"/>
      <c r="G21" s="113"/>
      <c r="H21" s="49" t="str">
        <f t="shared" si="2"/>
        <v/>
      </c>
      <c r="I21" s="50" t="str">
        <f t="shared" si="3"/>
        <v/>
      </c>
    </row>
    <row r="22" spans="2:15" s="16" customFormat="1" ht="18" customHeight="1" x14ac:dyDescent="0.2">
      <c r="B22" s="277"/>
      <c r="C22" s="105" t="s">
        <v>98</v>
      </c>
      <c r="D22" s="113"/>
      <c r="E22" s="113"/>
      <c r="F22" s="113"/>
      <c r="G22" s="113"/>
      <c r="H22" s="49" t="str">
        <f t="shared" si="2"/>
        <v/>
      </c>
      <c r="I22" s="50" t="str">
        <f t="shared" si="3"/>
        <v/>
      </c>
    </row>
    <row r="23" spans="2:15" s="16" customFormat="1" ht="18" customHeight="1" x14ac:dyDescent="0.2">
      <c r="B23" s="277"/>
      <c r="C23" s="100" t="s">
        <v>108</v>
      </c>
      <c r="D23" s="114"/>
      <c r="E23" s="114"/>
      <c r="F23" s="114"/>
      <c r="G23" s="114"/>
      <c r="H23" s="51" t="str">
        <f t="shared" si="2"/>
        <v/>
      </c>
      <c r="I23" s="52" t="str">
        <f t="shared" si="3"/>
        <v/>
      </c>
    </row>
    <row r="24" spans="2:15" s="20" customFormat="1" ht="19.5" customHeight="1" x14ac:dyDescent="0.2">
      <c r="B24" s="277"/>
      <c r="C24" s="268" t="s">
        <v>82</v>
      </c>
      <c r="D24" s="269"/>
      <c r="E24" s="269"/>
      <c r="F24" s="269"/>
      <c r="G24" s="269"/>
      <c r="H24" s="269"/>
      <c r="I24" s="270"/>
    </row>
    <row r="25" spans="2:15" s="16" customFormat="1" ht="18" customHeight="1" x14ac:dyDescent="0.2">
      <c r="B25" s="277"/>
      <c r="C25" s="103" t="s">
        <v>53</v>
      </c>
      <c r="D25" s="153">
        <v>0</v>
      </c>
      <c r="E25" s="153">
        <v>0</v>
      </c>
      <c r="F25" s="153">
        <v>0</v>
      </c>
      <c r="G25" s="153">
        <v>0</v>
      </c>
      <c r="H25" s="47" t="str">
        <f>IF(AND(D25&lt;&gt;"",D25&lt;&gt;0),SUM(E25:G25),"")</f>
        <v/>
      </c>
      <c r="I25" s="48" t="str">
        <f>IF(AND(D25&lt;&gt;"",D25&lt;&gt;0),ROUND(H25/D25,4),"")</f>
        <v/>
      </c>
      <c r="K25" s="16">
        <v>1</v>
      </c>
      <c r="L25" s="16">
        <v>16</v>
      </c>
      <c r="M25" s="16">
        <v>17</v>
      </c>
      <c r="N25" s="16">
        <v>18</v>
      </c>
      <c r="O25" s="16">
        <v>19</v>
      </c>
    </row>
    <row r="26" spans="2:15" s="16" customFormat="1" ht="18" customHeight="1" x14ac:dyDescent="0.2">
      <c r="B26" s="277"/>
      <c r="C26" s="104" t="s">
        <v>54</v>
      </c>
      <c r="D26" s="153">
        <v>0</v>
      </c>
      <c r="E26" s="153">
        <v>0</v>
      </c>
      <c r="F26" s="153">
        <v>0</v>
      </c>
      <c r="G26" s="153">
        <v>0</v>
      </c>
      <c r="H26" s="85" t="str">
        <f t="shared" ref="H26:H32" si="4">IF(AND(D26&lt;&gt;"",D26&lt;&gt;0),SUM(E26:G26),"")</f>
        <v/>
      </c>
      <c r="I26" s="86" t="str">
        <f t="shared" ref="I26:I32" si="5">IF(AND(D26&lt;&gt;"",D26&lt;&gt;0),ROUND(H26/D26,4),"")</f>
        <v/>
      </c>
      <c r="K26" s="16">
        <v>2</v>
      </c>
      <c r="L26" s="16">
        <v>16</v>
      </c>
      <c r="M26" s="16">
        <v>17</v>
      </c>
      <c r="N26" s="16">
        <v>18</v>
      </c>
      <c r="O26" s="16">
        <v>19</v>
      </c>
    </row>
    <row r="27" spans="2:15" s="16" customFormat="1" ht="18" customHeight="1" x14ac:dyDescent="0.2">
      <c r="B27" s="277"/>
      <c r="C27" s="104" t="s">
        <v>94</v>
      </c>
      <c r="D27" s="153">
        <v>0</v>
      </c>
      <c r="E27" s="153">
        <v>0</v>
      </c>
      <c r="F27" s="153">
        <v>0</v>
      </c>
      <c r="G27" s="153">
        <v>0</v>
      </c>
      <c r="H27" s="85" t="str">
        <f t="shared" si="4"/>
        <v/>
      </c>
      <c r="I27" s="86" t="str">
        <f t="shared" si="5"/>
        <v/>
      </c>
      <c r="K27" s="16">
        <v>3</v>
      </c>
      <c r="L27" s="16">
        <v>16</v>
      </c>
      <c r="M27" s="16">
        <v>17</v>
      </c>
      <c r="N27" s="16">
        <v>18</v>
      </c>
      <c r="O27" s="16">
        <v>19</v>
      </c>
    </row>
    <row r="28" spans="2:15" s="16" customFormat="1" ht="18" customHeight="1" x14ac:dyDescent="0.2">
      <c r="B28" s="277"/>
      <c r="C28" s="104" t="s">
        <v>95</v>
      </c>
      <c r="D28" s="153">
        <v>0</v>
      </c>
      <c r="E28" s="153">
        <v>0</v>
      </c>
      <c r="F28" s="153">
        <v>0</v>
      </c>
      <c r="G28" s="153">
        <v>0</v>
      </c>
      <c r="H28" s="85" t="str">
        <f t="shared" si="4"/>
        <v/>
      </c>
      <c r="I28" s="86" t="str">
        <f t="shared" si="5"/>
        <v/>
      </c>
      <c r="K28" s="16">
        <v>4</v>
      </c>
      <c r="L28" s="16">
        <v>16</v>
      </c>
      <c r="M28" s="16">
        <v>17</v>
      </c>
      <c r="N28" s="16">
        <v>18</v>
      </c>
      <c r="O28" s="16">
        <v>19</v>
      </c>
    </row>
    <row r="29" spans="2:15" s="16" customFormat="1" ht="18" customHeight="1" x14ac:dyDescent="0.2">
      <c r="B29" s="277"/>
      <c r="C29" s="104" t="s">
        <v>96</v>
      </c>
      <c r="D29" s="153">
        <v>0</v>
      </c>
      <c r="E29" s="153">
        <v>0</v>
      </c>
      <c r="F29" s="153">
        <v>0</v>
      </c>
      <c r="G29" s="153">
        <v>0</v>
      </c>
      <c r="H29" s="85" t="str">
        <f t="shared" si="4"/>
        <v/>
      </c>
      <c r="I29" s="86" t="str">
        <f t="shared" si="5"/>
        <v/>
      </c>
    </row>
    <row r="30" spans="2:15" s="16" customFormat="1" ht="18" customHeight="1" x14ac:dyDescent="0.2">
      <c r="B30" s="277"/>
      <c r="C30" s="105" t="s">
        <v>97</v>
      </c>
      <c r="D30" s="153">
        <v>0</v>
      </c>
      <c r="E30" s="153">
        <v>0</v>
      </c>
      <c r="F30" s="153">
        <v>0</v>
      </c>
      <c r="G30" s="153">
        <v>0</v>
      </c>
      <c r="H30" s="49" t="str">
        <f t="shared" si="4"/>
        <v/>
      </c>
      <c r="I30" s="50" t="str">
        <f t="shared" si="5"/>
        <v/>
      </c>
    </row>
    <row r="31" spans="2:15" s="16" customFormat="1" ht="18" customHeight="1" x14ac:dyDescent="0.2">
      <c r="B31" s="277"/>
      <c r="C31" s="105" t="s">
        <v>98</v>
      </c>
      <c r="D31" s="153">
        <v>0</v>
      </c>
      <c r="E31" s="153">
        <v>0</v>
      </c>
      <c r="F31" s="153">
        <v>0</v>
      </c>
      <c r="G31" s="153">
        <v>0</v>
      </c>
      <c r="H31" s="49" t="str">
        <f t="shared" si="4"/>
        <v/>
      </c>
      <c r="I31" s="50" t="str">
        <f t="shared" si="5"/>
        <v/>
      </c>
    </row>
    <row r="32" spans="2:15" s="16" customFormat="1" ht="18" customHeight="1" x14ac:dyDescent="0.2">
      <c r="B32" s="278"/>
      <c r="C32" s="100" t="s">
        <v>108</v>
      </c>
      <c r="D32" s="153">
        <v>0</v>
      </c>
      <c r="E32" s="153">
        <v>0</v>
      </c>
      <c r="F32" s="153">
        <v>0</v>
      </c>
      <c r="G32" s="153">
        <v>0</v>
      </c>
      <c r="H32" s="51" t="str">
        <f t="shared" si="4"/>
        <v/>
      </c>
      <c r="I32" s="52" t="str">
        <f t="shared" si="5"/>
        <v/>
      </c>
    </row>
    <row r="33" spans="2:9" s="87" customFormat="1" ht="18" customHeight="1" x14ac:dyDescent="0.2">
      <c r="B33" s="53"/>
      <c r="C33" s="53"/>
      <c r="D33" s="54" t="s">
        <v>83</v>
      </c>
      <c r="E33" s="54"/>
      <c r="F33" s="54"/>
      <c r="G33" s="54"/>
      <c r="H33" s="54"/>
      <c r="I33" s="55"/>
    </row>
  </sheetData>
  <sheetProtection password="DC9F" sheet="1"/>
  <mergeCells count="8">
    <mergeCell ref="B1:I1"/>
    <mergeCell ref="B2:I2"/>
    <mergeCell ref="C6:I6"/>
    <mergeCell ref="C15:I15"/>
    <mergeCell ref="C24:I24"/>
    <mergeCell ref="D4:H4"/>
    <mergeCell ref="I4:I5"/>
    <mergeCell ref="B4:B32"/>
  </mergeCells>
  <hyperlinks>
    <hyperlink ref="I3" location="Início!A1" display="Índice"/>
  </hyperlinks>
  <printOptions horizontalCentered="1"/>
  <pageMargins left="0.27559055118110237" right="0.51181102362204722" top="0.88" bottom="0.31496062992125984" header="0.15748031496062992" footer="0.31496062992125984"/>
  <pageSetup paperSize="9" scale="95" orientation="landscape" horizontalDpi="300" verticalDpi="300" r:id="rId1"/>
  <headerFooter>
    <oddFooter>&amp;R&amp;8Pág. &amp;P de &amp;N</oddFooter>
  </headerFooter>
  <rowBreaks count="1" manualBreakCount="1">
    <brk id="1"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6"/>
  <dimension ref="B1:M14"/>
  <sheetViews>
    <sheetView showGridLines="0" zoomScale="115" zoomScaleNormal="115" workbookViewId="0">
      <selection activeCell="D9" sqref="D9"/>
    </sheetView>
  </sheetViews>
  <sheetFormatPr defaultRowHeight="15" x14ac:dyDescent="0.25"/>
  <cols>
    <col min="1" max="1" width="2.7109375" style="17" customWidth="1"/>
    <col min="2" max="2" width="7.85546875" style="17" customWidth="1"/>
    <col min="3" max="3" width="17.28515625" style="17" customWidth="1"/>
    <col min="4" max="8" width="11" style="17" customWidth="1"/>
    <col min="9" max="13" width="9.140625" style="17" hidden="1" customWidth="1"/>
    <col min="14" max="16384" width="9.140625" style="17"/>
  </cols>
  <sheetData>
    <row r="1" spans="2:12" ht="33" customHeight="1" x14ac:dyDescent="0.25">
      <c r="B1" s="241" t="str">
        <f>IF(Início!C8&lt;&gt;"",Início!C8,"")</f>
        <v>Agrupamento de Escolas de Souselo</v>
      </c>
      <c r="C1" s="261"/>
      <c r="D1" s="261"/>
      <c r="E1" s="261"/>
      <c r="F1" s="261"/>
      <c r="G1" s="261"/>
      <c r="H1" s="261"/>
    </row>
    <row r="2" spans="2:12" ht="36.75" customHeight="1" x14ac:dyDescent="0.25">
      <c r="B2" s="279" t="s">
        <v>84</v>
      </c>
      <c r="C2" s="263"/>
      <c r="D2" s="263"/>
      <c r="E2" s="263"/>
      <c r="F2" s="263"/>
      <c r="G2" s="263"/>
      <c r="H2" s="263"/>
      <c r="I2" s="166">
        <f>IF(Início!H8&lt;&gt;"",Início!H8,"")</f>
        <v>1804553</v>
      </c>
    </row>
    <row r="3" spans="2:12" ht="22.5" customHeight="1" x14ac:dyDescent="0.25">
      <c r="H3" s="196" t="s">
        <v>125</v>
      </c>
    </row>
    <row r="4" spans="2:12" s="20" customFormat="1" ht="93" customHeight="1" x14ac:dyDescent="0.2">
      <c r="B4" s="282" t="s">
        <v>43</v>
      </c>
      <c r="C4" s="106" t="s">
        <v>44</v>
      </c>
      <c r="D4" s="192" t="s">
        <v>85</v>
      </c>
      <c r="E4" s="193" t="s">
        <v>86</v>
      </c>
      <c r="F4" s="192" t="s">
        <v>87</v>
      </c>
      <c r="G4" s="192" t="s">
        <v>88</v>
      </c>
      <c r="H4" s="192" t="s">
        <v>89</v>
      </c>
    </row>
    <row r="5" spans="2:12" s="16" customFormat="1" ht="18" customHeight="1" x14ac:dyDescent="0.2">
      <c r="B5" s="283"/>
      <c r="C5" s="107" t="s">
        <v>53</v>
      </c>
      <c r="D5" s="152">
        <v>699</v>
      </c>
      <c r="E5" s="152">
        <v>1</v>
      </c>
      <c r="F5" s="152">
        <v>12</v>
      </c>
      <c r="G5" s="56">
        <f>IF(D5&lt;&gt;"",SUM(E5:F5),"")</f>
        <v>13</v>
      </c>
      <c r="H5" s="57">
        <f>IF(AND(D5&lt;&gt;0,D5&lt;&gt;""),ROUND(G5/D5,2),"")</f>
        <v>0.02</v>
      </c>
      <c r="J5" s="16">
        <v>5</v>
      </c>
      <c r="K5" s="16">
        <v>6</v>
      </c>
      <c r="L5" s="16">
        <v>7</v>
      </c>
    </row>
    <row r="6" spans="2:12" s="16" customFormat="1" ht="18" customHeight="1" x14ac:dyDescent="0.2">
      <c r="B6" s="283"/>
      <c r="C6" s="108" t="s">
        <v>54</v>
      </c>
      <c r="D6" s="153">
        <v>682</v>
      </c>
      <c r="E6" s="153">
        <v>0</v>
      </c>
      <c r="F6" s="153">
        <v>5</v>
      </c>
      <c r="G6" s="83">
        <f t="shared" ref="G6:G12" si="0">IF(D6&lt;&gt;"",SUM(E6:F6),"")</f>
        <v>5</v>
      </c>
      <c r="H6" s="84">
        <f>IF(AND(D6&lt;&gt;0,D6&lt;&gt;""),ROUND(G6/D6,2),"")</f>
        <v>0.01</v>
      </c>
      <c r="J6" s="16">
        <v>8</v>
      </c>
      <c r="K6" s="16">
        <v>9</v>
      </c>
      <c r="L6" s="16">
        <v>10</v>
      </c>
    </row>
    <row r="7" spans="2:12" s="16" customFormat="1" ht="18" customHeight="1" x14ac:dyDescent="0.2">
      <c r="B7" s="283"/>
      <c r="C7" s="108" t="s">
        <v>94</v>
      </c>
      <c r="D7" s="153">
        <v>627</v>
      </c>
      <c r="E7" s="153">
        <v>1</v>
      </c>
      <c r="F7" s="153">
        <v>1</v>
      </c>
      <c r="G7" s="83">
        <f t="shared" si="0"/>
        <v>2</v>
      </c>
      <c r="H7" s="84">
        <f>IF(AND(D7&lt;&gt;0,D7&lt;&gt;""),ROUND(G7/D7,2),"")</f>
        <v>0</v>
      </c>
      <c r="J7" s="16">
        <v>11</v>
      </c>
      <c r="K7" s="16">
        <v>12</v>
      </c>
      <c r="L7" s="16">
        <v>13</v>
      </c>
    </row>
    <row r="8" spans="2:12" s="16" customFormat="1" ht="18" customHeight="1" x14ac:dyDescent="0.2">
      <c r="B8" s="283"/>
      <c r="C8" s="108" t="s">
        <v>95</v>
      </c>
      <c r="D8" s="153">
        <v>628</v>
      </c>
      <c r="E8" s="153">
        <v>6</v>
      </c>
      <c r="F8" s="153">
        <v>6</v>
      </c>
      <c r="G8" s="83">
        <f t="shared" si="0"/>
        <v>12</v>
      </c>
      <c r="H8" s="84">
        <f t="shared" ref="H8:H12" si="1">IF(AND(D8&lt;&gt;0,D8&lt;&gt;""),ROUND(G8/D8,2),"")</f>
        <v>0.02</v>
      </c>
      <c r="J8" s="16">
        <v>14</v>
      </c>
      <c r="K8" s="16">
        <v>15</v>
      </c>
      <c r="L8" s="16">
        <v>16</v>
      </c>
    </row>
    <row r="9" spans="2:12" s="16" customFormat="1" ht="18" customHeight="1" x14ac:dyDescent="0.2">
      <c r="B9" s="283"/>
      <c r="C9" s="108" t="s">
        <v>96</v>
      </c>
      <c r="D9" s="110"/>
      <c r="E9" s="110"/>
      <c r="F9" s="110"/>
      <c r="G9" s="83" t="str">
        <f t="shared" si="0"/>
        <v/>
      </c>
      <c r="H9" s="84" t="str">
        <f t="shared" si="1"/>
        <v/>
      </c>
    </row>
    <row r="10" spans="2:12" s="16" customFormat="1" ht="18" customHeight="1" x14ac:dyDescent="0.2">
      <c r="B10" s="283"/>
      <c r="C10" s="108" t="s">
        <v>97</v>
      </c>
      <c r="D10" s="110"/>
      <c r="E10" s="110"/>
      <c r="F10" s="110"/>
      <c r="G10" s="83" t="str">
        <f t="shared" si="0"/>
        <v/>
      </c>
      <c r="H10" s="84" t="str">
        <f t="shared" si="1"/>
        <v/>
      </c>
    </row>
    <row r="11" spans="2:12" s="16" customFormat="1" ht="18" customHeight="1" x14ac:dyDescent="0.2">
      <c r="B11" s="284"/>
      <c r="C11" s="108" t="s">
        <v>97</v>
      </c>
      <c r="D11" s="110"/>
      <c r="E11" s="110"/>
      <c r="F11" s="110"/>
      <c r="G11" s="83" t="str">
        <f t="shared" si="0"/>
        <v/>
      </c>
      <c r="H11" s="84" t="str">
        <f t="shared" si="1"/>
        <v/>
      </c>
    </row>
    <row r="12" spans="2:12" s="16" customFormat="1" ht="18" customHeight="1" x14ac:dyDescent="0.2">
      <c r="B12" s="260"/>
      <c r="C12" s="109" t="s">
        <v>108</v>
      </c>
      <c r="D12" s="111"/>
      <c r="E12" s="111"/>
      <c r="F12" s="111"/>
      <c r="G12" s="58" t="str">
        <f t="shared" si="0"/>
        <v/>
      </c>
      <c r="H12" s="59" t="str">
        <f t="shared" si="1"/>
        <v/>
      </c>
    </row>
    <row r="13" spans="2:12" s="41" customFormat="1" ht="18.75" customHeight="1" x14ac:dyDescent="0.2">
      <c r="B13" s="61"/>
      <c r="C13" s="60" t="s">
        <v>90</v>
      </c>
      <c r="D13" s="61"/>
      <c r="E13" s="61"/>
      <c r="F13" s="61"/>
      <c r="G13" s="61"/>
      <c r="H13" s="62"/>
    </row>
    <row r="14" spans="2:12" s="41" customFormat="1" ht="24" customHeight="1" x14ac:dyDescent="0.25">
      <c r="B14" s="82"/>
      <c r="C14" s="280" t="s">
        <v>91</v>
      </c>
      <c r="D14" s="281"/>
      <c r="E14" s="281"/>
      <c r="F14" s="281"/>
      <c r="G14" s="281"/>
      <c r="H14" s="281"/>
    </row>
  </sheetData>
  <sheetProtection password="DC9F" sheet="1"/>
  <mergeCells count="4">
    <mergeCell ref="B2:H2"/>
    <mergeCell ref="C14:H14"/>
    <mergeCell ref="B4:B12"/>
    <mergeCell ref="B1:H1"/>
  </mergeCells>
  <hyperlinks>
    <hyperlink ref="H3" location="Início!A1" display="Índice"/>
  </hyperlinks>
  <printOptions horizontalCentered="1"/>
  <pageMargins left="0.27559055118110237" right="0.51181102362204722" top="0.88" bottom="0.31496062992125984" header="0.15748031496062992" footer="0.31496062992125984"/>
  <pageSetup paperSize="9" scale="95" orientation="landscape" horizontalDpi="300" verticalDpi="300" r:id="rId1"/>
  <headerFooter>
    <oddFooter>&amp;R&amp;8Pág. &amp;P de &amp;N</oddFooter>
  </headerFooter>
  <rowBreaks count="1" manualBreakCount="1">
    <brk id="1"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pageSetUpPr fitToPage="1"/>
  </sheetPr>
  <dimension ref="B1:BI42"/>
  <sheetViews>
    <sheetView showGridLines="0" zoomScaleNormal="100" workbookViewId="0">
      <selection activeCell="N34" sqref="N34:U34"/>
    </sheetView>
  </sheetViews>
  <sheetFormatPr defaultRowHeight="12.75" x14ac:dyDescent="0.2"/>
  <cols>
    <col min="1" max="1" width="2.7109375" customWidth="1"/>
    <col min="2" max="2" width="21.140625" style="2" customWidth="1"/>
    <col min="3" max="4" width="11.140625" style="2" customWidth="1"/>
    <col min="5" max="5" width="59.140625" style="2" customWidth="1"/>
    <col min="6" max="13" width="8.28515625" style="1" customWidth="1"/>
    <col min="14" max="14" width="8.85546875" customWidth="1"/>
    <col min="15" max="17" width="10.28515625" customWidth="1"/>
    <col min="18" max="18" width="11.7109375" style="11" customWidth="1"/>
    <col min="19" max="19" width="10.28515625" style="11" customWidth="1"/>
    <col min="20" max="20" width="18.28515625" style="11" customWidth="1"/>
    <col min="21" max="21" width="12.5703125" customWidth="1"/>
    <col min="22" max="22" width="9.140625" customWidth="1"/>
    <col min="23" max="25" width="10.28515625" customWidth="1"/>
    <col min="26" max="26" width="11.7109375" customWidth="1"/>
    <col min="27" max="27" width="10.28515625" customWidth="1"/>
    <col min="28" max="28" width="18.28515625" style="11" customWidth="1"/>
    <col min="29" max="29" width="12.5703125" customWidth="1"/>
    <col min="30" max="30" width="9" customWidth="1"/>
    <col min="31" max="33" width="10.28515625" customWidth="1"/>
    <col min="34" max="34" width="11.7109375" customWidth="1"/>
    <col min="35" max="35" width="10.28515625" customWidth="1"/>
    <col min="36" max="36" width="18.28515625" style="11" customWidth="1"/>
    <col min="37" max="37" width="12.5703125" customWidth="1"/>
    <col min="38" max="38" width="8.85546875" customWidth="1"/>
    <col min="39" max="41" width="9.85546875" customWidth="1"/>
    <col min="42" max="42" width="11.7109375" customWidth="1"/>
    <col min="43" max="43" width="9.85546875" customWidth="1"/>
    <col min="44" max="44" width="18.28515625" style="11" customWidth="1"/>
    <col min="45" max="45" width="12.5703125" customWidth="1"/>
    <col min="46" max="46" width="8.85546875" customWidth="1"/>
    <col min="47" max="49" width="9.85546875" customWidth="1"/>
    <col min="50" max="50" width="11.7109375" customWidth="1"/>
    <col min="51" max="51" width="9.85546875" customWidth="1"/>
    <col min="52" max="52" width="18.28515625" style="11" customWidth="1"/>
    <col min="53" max="53" width="12.5703125" customWidth="1"/>
    <col min="57" max="57" width="9.140625" customWidth="1"/>
    <col min="58" max="58" width="9.140625" hidden="1" customWidth="1"/>
    <col min="59" max="61" width="0" hidden="1" customWidth="1"/>
  </cols>
  <sheetData>
    <row r="1" spans="2:61" s="12" customFormat="1" ht="49.5" customHeight="1" thickBot="1" x14ac:dyDescent="0.25">
      <c r="B1" s="234" t="str">
        <f>"Plano Plurianual de Melhoria"&amp;IF(Início!C8&lt;&gt;""," ("&amp;Início!C8&amp;")","")</f>
        <v>Plano Plurianual de Melhoria (Agrupamento de Escolas de Souselo)</v>
      </c>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285"/>
      <c r="AO1" s="285"/>
      <c r="AP1" s="285"/>
      <c r="AQ1" s="285"/>
      <c r="AR1" s="285"/>
      <c r="AS1" s="285"/>
      <c r="AT1" s="285"/>
      <c r="AU1" s="285"/>
      <c r="AV1" s="285"/>
      <c r="AW1" s="285"/>
      <c r="AX1" s="285"/>
      <c r="AY1" s="285"/>
      <c r="AZ1" s="285"/>
      <c r="BA1" s="285"/>
    </row>
    <row r="2" spans="2:61" s="6" customFormat="1" ht="20.25" customHeight="1" thickTop="1" x14ac:dyDescent="0.2">
      <c r="B2" s="199" t="s">
        <v>125</v>
      </c>
      <c r="C2" s="2"/>
      <c r="D2" s="2"/>
      <c r="E2" s="2"/>
      <c r="F2" s="5"/>
      <c r="G2" s="5"/>
      <c r="H2" s="5"/>
      <c r="I2" s="5"/>
      <c r="J2" s="5"/>
      <c r="K2" s="5"/>
      <c r="L2" s="5"/>
      <c r="M2" s="5"/>
      <c r="R2" s="9"/>
      <c r="S2" s="9"/>
      <c r="T2" s="9"/>
      <c r="AB2" s="9"/>
      <c r="AJ2" s="9"/>
      <c r="AL2" s="297"/>
      <c r="AM2" s="298"/>
      <c r="AN2" s="7"/>
      <c r="AO2" s="7"/>
      <c r="AQ2" s="7"/>
      <c r="AR2" s="9"/>
      <c r="AT2" s="297"/>
      <c r="AU2" s="298"/>
      <c r="AV2" s="7"/>
      <c r="AW2" s="7"/>
      <c r="AY2" s="7"/>
      <c r="AZ2" s="9"/>
      <c r="BF2" s="6" t="s">
        <v>128</v>
      </c>
    </row>
    <row r="3" spans="2:61" s="8" customFormat="1" ht="36" customHeight="1" x14ac:dyDescent="0.2">
      <c r="B3" s="286" t="s">
        <v>39</v>
      </c>
      <c r="C3" s="286"/>
      <c r="D3" s="286"/>
      <c r="E3" s="286"/>
      <c r="F3" s="293" t="s">
        <v>30</v>
      </c>
      <c r="G3" s="294"/>
      <c r="H3" s="294"/>
      <c r="I3" s="294"/>
      <c r="J3" s="294"/>
      <c r="K3" s="294"/>
      <c r="L3" s="294"/>
      <c r="M3" s="295"/>
      <c r="N3" s="293" t="s">
        <v>15</v>
      </c>
      <c r="O3" s="294"/>
      <c r="P3" s="294"/>
      <c r="Q3" s="294"/>
      <c r="R3" s="294"/>
      <c r="S3" s="294"/>
      <c r="T3" s="294"/>
      <c r="U3" s="294"/>
      <c r="V3" s="293" t="s">
        <v>16</v>
      </c>
      <c r="W3" s="294"/>
      <c r="X3" s="294"/>
      <c r="Y3" s="294"/>
      <c r="Z3" s="294"/>
      <c r="AA3" s="294"/>
      <c r="AB3" s="294"/>
      <c r="AC3" s="294"/>
      <c r="AD3" s="293" t="s">
        <v>17</v>
      </c>
      <c r="AE3" s="294"/>
      <c r="AF3" s="294"/>
      <c r="AG3" s="294"/>
      <c r="AH3" s="294"/>
      <c r="AI3" s="294"/>
      <c r="AJ3" s="294"/>
      <c r="AK3" s="294"/>
      <c r="AL3" s="293" t="s">
        <v>18</v>
      </c>
      <c r="AM3" s="294"/>
      <c r="AN3" s="294"/>
      <c r="AO3" s="294"/>
      <c r="AP3" s="294"/>
      <c r="AQ3" s="294"/>
      <c r="AR3" s="294"/>
      <c r="AS3" s="294"/>
      <c r="AT3" s="293" t="s">
        <v>24</v>
      </c>
      <c r="AU3" s="294"/>
      <c r="AV3" s="294"/>
      <c r="AW3" s="294"/>
      <c r="AX3" s="294"/>
      <c r="AY3" s="294"/>
      <c r="AZ3" s="294"/>
      <c r="BA3" s="294"/>
      <c r="BF3" s="221" t="s">
        <v>129</v>
      </c>
      <c r="BG3" s="221" t="s">
        <v>130</v>
      </c>
      <c r="BH3" s="221" t="s">
        <v>131</v>
      </c>
      <c r="BI3" s="221" t="s">
        <v>132</v>
      </c>
    </row>
    <row r="4" spans="2:61" ht="51.75" customHeight="1" x14ac:dyDescent="0.2">
      <c r="B4" s="13" t="s">
        <v>0</v>
      </c>
      <c r="C4" s="292" t="s">
        <v>25</v>
      </c>
      <c r="D4" s="292"/>
      <c r="E4" s="292"/>
      <c r="F4" s="14" t="s">
        <v>12</v>
      </c>
      <c r="G4" s="14" t="s">
        <v>13</v>
      </c>
      <c r="H4" s="14" t="s">
        <v>14</v>
      </c>
      <c r="I4" s="14" t="s">
        <v>15</v>
      </c>
      <c r="J4" s="14" t="s">
        <v>16</v>
      </c>
      <c r="K4" s="14" t="s">
        <v>17</v>
      </c>
      <c r="L4" s="14" t="s">
        <v>18</v>
      </c>
      <c r="M4" s="14" t="s">
        <v>24</v>
      </c>
      <c r="N4" s="13" t="s">
        <v>27</v>
      </c>
      <c r="O4" s="13" t="s">
        <v>26</v>
      </c>
      <c r="P4" s="13" t="s">
        <v>28</v>
      </c>
      <c r="Q4" s="13" t="s">
        <v>33</v>
      </c>
      <c r="R4" s="15" t="s">
        <v>6</v>
      </c>
      <c r="S4" s="15" t="s">
        <v>32</v>
      </c>
      <c r="T4" s="15" t="s">
        <v>34</v>
      </c>
      <c r="U4" s="13" t="s">
        <v>29</v>
      </c>
      <c r="V4" s="13" t="s">
        <v>27</v>
      </c>
      <c r="W4" s="13" t="s">
        <v>26</v>
      </c>
      <c r="X4" s="13" t="s">
        <v>28</v>
      </c>
      <c r="Y4" s="13" t="s">
        <v>33</v>
      </c>
      <c r="Z4" s="13" t="s">
        <v>6</v>
      </c>
      <c r="AA4" s="15" t="s">
        <v>32</v>
      </c>
      <c r="AB4" s="15" t="s">
        <v>34</v>
      </c>
      <c r="AC4" s="13" t="s">
        <v>29</v>
      </c>
      <c r="AD4" s="13" t="s">
        <v>27</v>
      </c>
      <c r="AE4" s="13" t="s">
        <v>26</v>
      </c>
      <c r="AF4" s="13" t="s">
        <v>28</v>
      </c>
      <c r="AG4" s="13" t="s">
        <v>33</v>
      </c>
      <c r="AH4" s="13" t="s">
        <v>6</v>
      </c>
      <c r="AI4" s="15" t="s">
        <v>32</v>
      </c>
      <c r="AJ4" s="15" t="s">
        <v>34</v>
      </c>
      <c r="AK4" s="13" t="s">
        <v>29</v>
      </c>
      <c r="AL4" s="13" t="s">
        <v>27</v>
      </c>
      <c r="AM4" s="13" t="s">
        <v>26</v>
      </c>
      <c r="AN4" s="13" t="s">
        <v>28</v>
      </c>
      <c r="AO4" s="13" t="s">
        <v>33</v>
      </c>
      <c r="AP4" s="13" t="s">
        <v>6</v>
      </c>
      <c r="AQ4" s="15" t="s">
        <v>32</v>
      </c>
      <c r="AR4" s="15" t="s">
        <v>34</v>
      </c>
      <c r="AS4" s="13" t="s">
        <v>29</v>
      </c>
      <c r="AT4" s="13" t="s">
        <v>27</v>
      </c>
      <c r="AU4" s="13" t="s">
        <v>26</v>
      </c>
      <c r="AV4" s="13" t="s">
        <v>28</v>
      </c>
      <c r="AW4" s="13" t="s">
        <v>33</v>
      </c>
      <c r="AX4" s="13" t="s">
        <v>6</v>
      </c>
      <c r="AY4" s="15" t="s">
        <v>32</v>
      </c>
      <c r="AZ4" s="15" t="s">
        <v>34</v>
      </c>
      <c r="BA4" s="13" t="s">
        <v>29</v>
      </c>
      <c r="BF4" s="222">
        <v>0.1</v>
      </c>
      <c r="BG4" s="222">
        <v>0.3</v>
      </c>
      <c r="BH4" s="222">
        <v>0.3</v>
      </c>
      <c r="BI4" s="222">
        <v>0.3</v>
      </c>
    </row>
    <row r="5" spans="2:61" s="134" customFormat="1" ht="24" hidden="1" customHeight="1" x14ac:dyDescent="0.2">
      <c r="B5" s="304" t="s">
        <v>11</v>
      </c>
      <c r="C5" s="306" t="s">
        <v>35</v>
      </c>
      <c r="D5" s="306" t="s">
        <v>20</v>
      </c>
      <c r="E5" s="129" t="s">
        <v>8</v>
      </c>
      <c r="F5" s="130" t="str">
        <f>IF('Domínio 1'!L7&lt;&gt;"",'Domínio 1'!L7,"")</f>
        <v/>
      </c>
      <c r="G5" s="130" t="str">
        <f>IF('Domínio 1'!L8&lt;&gt;"",'Domínio 1'!L8,"")</f>
        <v/>
      </c>
      <c r="H5" s="130" t="str">
        <f>IF('Domínio 1'!L9&lt;&gt;"",'Domínio 1'!L9,"")</f>
        <v/>
      </c>
      <c r="I5" s="130" t="str">
        <f>IF('Domínio 1'!L10&lt;&gt;"",'Domínio 1'!L10,"")</f>
        <v/>
      </c>
      <c r="J5" s="130" t="str">
        <f>IF('Domínio 1'!L11&lt;&gt;"",'Domínio 1'!L11,"")</f>
        <v/>
      </c>
      <c r="K5" s="130" t="str">
        <f>IF('Domínio 1'!L12&lt;&gt;"",'Domínio 1'!L12,"")</f>
        <v/>
      </c>
      <c r="L5" s="130" t="str">
        <f>IF('Domínio 1'!L13&lt;&gt;"",'Domínio 1'!L13,"")</f>
        <v/>
      </c>
      <c r="M5" s="130" t="str">
        <f>IF('Domínio 1'!L14&lt;&gt;"",'Domínio 1'!L14,"")</f>
        <v/>
      </c>
      <c r="N5" s="131" t="str">
        <f>IF(COUNT(F5:H5)&gt;0,ROUND(AVERAGE(F5:H5),4),"")</f>
        <v/>
      </c>
      <c r="O5" s="131" t="str">
        <f>IF(N5&lt;&gt;"",IF(N5&lt;-5%,"melhorar 5pp","manter acima de -5%"),"")</f>
        <v/>
      </c>
      <c r="P5" s="131" t="str">
        <f>IF(N5&lt;&gt;"",IF(N5&lt;-5%,N5+5%,-5%),"")</f>
        <v/>
      </c>
      <c r="Q5" s="132" t="str">
        <f t="shared" ref="Q5:Q32" si="0">IF(I5&lt;&gt;"",I5,"")</f>
        <v/>
      </c>
      <c r="R5" s="133" t="str">
        <f>IF(COUNT($F5:H5)&gt;0,IF(Q5&lt;&gt;"",IF(Q5&gt;=P5,1,0),""),"")</f>
        <v/>
      </c>
      <c r="S5" s="296" t="str">
        <f>IF(COUNT(R5:R6)=2,IF(AND(N5&lt;-5%,SUM(R5:R6)&gt;=1),1,IF(AND(N5&gt;=-5%,SUM(R5:R6)=2),1,0)),"")</f>
        <v/>
      </c>
      <c r="T5" s="291" t="str">
        <f>IF(AND(S5&lt;&gt;"",'Domínio 1'!I10&lt;&gt;""),'Domínio 1'!I10,"")</f>
        <v/>
      </c>
      <c r="U5" s="290">
        <f>IF(AND(COUNT(S5:S20)=COUNT(T5:T20),COUNT(T5:T20)&gt;0),ROUND((IF(S5&lt;&gt;"",T5*S5,0)+IF(S7&lt;&gt;"",T7*S7,0)+IF(S9&lt;&gt;"",T9*S9,0)+IF(S11&lt;&gt;"",T11*S11,0)+IF(S13&lt;&gt;"",T13*S13,0)+IF(S15&lt;&gt;"",T15*S15,0)+IF(S17&lt;&gt;"",T17*S17,0)+IF(S19&lt;&gt;"",T19*S19,0))/SUM(T5:T20),2),"")</f>
        <v>1</v>
      </c>
      <c r="V5" s="131" t="str">
        <f>IF(COUNT(F5:I5)&gt;0,IF(I5&lt;&gt;"",ROUND(AVERAGE(F5:I5),4),ROUND(AVERAGE(F5:H5,P5),4)),"")</f>
        <v/>
      </c>
      <c r="W5" s="131" t="str">
        <f>IF(V5&lt;&gt;"",IF(V5&lt;-5%,"melhorar 5pp","manter acima de -5%"),"")</f>
        <v/>
      </c>
      <c r="X5" s="131" t="str">
        <f>IF(V5&lt;&gt;"",IF(V5&lt;-5%,V5+5%,-5%),"")</f>
        <v/>
      </c>
      <c r="Y5" s="132" t="str">
        <f t="shared" ref="Y5:Y32" si="1">IF(J5&lt;&gt;"",J5,"")</f>
        <v/>
      </c>
      <c r="Z5" s="133" t="str">
        <f>IF(COUNT($F5:I5)&gt;0,IF(Y5&lt;&gt;"",IF(Y5&gt;=X5,1,0),""),"")</f>
        <v/>
      </c>
      <c r="AA5" s="296" t="str">
        <f>IF(COUNT(Z5:Z6)=2,IF(AND(V5&lt;-5%,SUM(Z5:Z6)&gt;=1),1,IF(AND(V5&gt;=-5%,SUM(Z5:Z6)=2),1,0)),"")</f>
        <v/>
      </c>
      <c r="AB5" s="291" t="str">
        <f>IF(AND('Domínio 1'!I11&lt;&gt;"",AA5&lt;&gt;""),'Domínio 1'!I11,"")</f>
        <v/>
      </c>
      <c r="AC5" s="290" t="str">
        <f>IF(AND(COUNT(AA5:AA20)=COUNT(AB5:AB20),COUNT(AB5:AB20)&gt;0),ROUND((IF(AA5&lt;&gt;"",AB5*AA5,0)+IF(AA7&lt;&gt;"",AB7*AA7,0)+IF(AA9&lt;&gt;"",AB9*AA9,0)+IF(AA11&lt;&gt;"",AB11*AA11,0)+IF(AA13&lt;&gt;"",AB13*AA13,0)+IF(AA15&lt;&gt;"",AB15*AA15,0)+IF(AA17&lt;&gt;"",AB17*AA17,0)+IF(AA19&lt;&gt;"",AB19*AA19,0))/SUM(AB5:AB20),2),"")</f>
        <v/>
      </c>
      <c r="AD5" s="131" t="str">
        <f>IF(COUNT(F5:J5)&gt;0,IF(J5&lt;&gt;"",ROUND(AVERAGE(F5:J5),4),IF(I5&lt;&gt;"",ROUND(AVERAGE(F5:I5,X5),4),IF(COUNT(F5:H5)&gt;0,ROUND(AVERAGE(F5:H5,P5,X5),4),""))),"")</f>
        <v/>
      </c>
      <c r="AE5" s="131" t="str">
        <f>IF(AD5&lt;&gt;"",IF(AD5&lt;-5%,"melhorar 5pp","manter acima de -5%"),"")</f>
        <v/>
      </c>
      <c r="AF5" s="131" t="str">
        <f>IF(AD5&lt;&gt;"",IF(AD5&lt;-5%,AD5+5%,-5%),"")</f>
        <v/>
      </c>
      <c r="AG5" s="132" t="str">
        <f t="shared" ref="AG5:AG32" si="2">IF(K5&lt;&gt;"",K5,"")</f>
        <v/>
      </c>
      <c r="AH5" s="133" t="str">
        <f>IF(COUNT($F5:J5)&gt;0,IF(AG5&lt;&gt;"",IF(AG5&gt;=AF5,1,0),""),"")</f>
        <v/>
      </c>
      <c r="AI5" s="296" t="str">
        <f>IF(COUNT(AH5:AH6)=2,IF(AND(AD5&lt;-5%,SUM(AH5:AH6)&gt;=1),1,IF(AND(AD5&gt;=-5%,SUM(AH5:AH6)=2),1,0)),"")</f>
        <v/>
      </c>
      <c r="AJ5" s="291" t="str">
        <f>IF(AND('Domínio 1'!I12&lt;&gt;"",AI5&lt;&gt;""),'Domínio 1'!I12,"")</f>
        <v/>
      </c>
      <c r="AK5" s="290" t="str">
        <f>IF(AND(COUNT(AI5:AI20)=COUNT(AJ5:AJ20),COUNT(AJ5:AJ20)&gt;0),ROUND((IF(AI5&lt;&gt;"",AJ5*AI5,0)+IF(AI7&lt;&gt;"",AJ7*AI7,0)+IF(AI9&lt;&gt;"",AJ9*AI9,0)+IF(AI11&lt;&gt;"",AJ11*AI11,0)+IF(AI13&lt;&gt;"",AJ13*AI13,0)+IF(AI15&lt;&gt;"",AJ15*AI15,0)+IF(AI17&lt;&gt;"",AJ17*AI17,0)+IF(AI19&lt;&gt;"",AJ19*AI19,0))/SUM(AJ5:AJ20),2),"")</f>
        <v/>
      </c>
      <c r="AL5" s="131" t="str">
        <f>IF(COUNT(F5:K5)&gt;0,IF(K5&lt;&gt;"",ROUND(AVERAGE(F5:K5),4),IF(J5&lt;&gt;"",ROUND(AVERAGE(F5:J5,AF5),4),IF(I5&lt;&gt;"",ROUND(AVERAGE(F5:I5,X5,AF5),4),IF(COUNT(F5:H5)&gt;0,ROUND(AVERAGE(F5:H5,P5,X5,AF5),4),"")))),"")</f>
        <v/>
      </c>
      <c r="AM5" s="131" t="str">
        <f>IF(AL5&lt;&gt;"",IF(AL5&lt;-5%,"melhorar 5pp","manter acima de -5%"),"")</f>
        <v/>
      </c>
      <c r="AN5" s="131" t="str">
        <f>IF(AL5&lt;&gt;"",IF(AL5&lt;-5%,AL5+5%,-5%),"")</f>
        <v/>
      </c>
      <c r="AO5" s="132" t="str">
        <f t="shared" ref="AO5:AO32" si="3">IF(L5&lt;&gt;"",L5,"")</f>
        <v/>
      </c>
      <c r="AP5" s="133" t="str">
        <f>IF(COUNT($F5:K5)&gt;0,IF(AO5&lt;&gt;"",IF(AO5&gt;=AN5,1,0),""),"")</f>
        <v/>
      </c>
      <c r="AQ5" s="296" t="str">
        <f>IF(COUNT(AP5:AP6)=2,IF(AND(AL5&lt;-5%,SUM(AP5:AP6)&gt;=1),1,IF(AND(AL5&gt;=-5%,SUM(AP5:AP6)=2),1,0)),"")</f>
        <v/>
      </c>
      <c r="AR5" s="291" t="str">
        <f>IF(AND('Domínio 1'!I13&lt;&gt;"",AQ5&lt;&gt;""),'Domínio 1'!I13,"")</f>
        <v/>
      </c>
      <c r="AS5" s="290" t="str">
        <f>IF(AND(COUNT(AQ5:AQ20)=COUNT(AR5:AR20),COUNT(AR5:AR20)&gt;0),ROUND((IF(AQ5&lt;&gt;"",AR5*AQ5,0)+IF(AQ7&lt;&gt;"",AR7*AQ7,0)+IF(AQ9&lt;&gt;"",AR9*AQ9,0)+IF(AQ11&lt;&gt;"",AR11*AQ11,0)+IF(AQ13&lt;&gt;"",AR13*AQ13,0)+IF(AQ15&lt;&gt;"",AR15*AQ15,0)+IF(AQ17&lt;&gt;"",AR17*AQ17,0)+IF(AQ19&lt;&gt;"",AR19*AQ19,0))/SUM(AR5:AR20),2),"")</f>
        <v/>
      </c>
      <c r="AT5" s="131" t="str">
        <f>IF(COUNT(F5:L5)&gt;0,IF(L5&lt;&gt;"",ROUND(AVERAGE(F5:L5),4),IF(K5&lt;&gt;"",ROUND(AVERAGE(F5:K5,AN5),4),IF(J5&lt;&gt;"",ROUND(AVERAGE(F5:J5,AF5,AN5),4),IF(I5&lt;&gt;"",ROUND(AVERAGE(F5:I5,X5,AF5,AN5),4),IF(COUNT(F5:H5)&gt;0,ROUND(AVERAGE(F5:H5,P5,X5,AF5,AN5),4),""))))),"")</f>
        <v/>
      </c>
      <c r="AU5" s="131" t="str">
        <f>IF(AT5&lt;&gt;"",IF(AT5&lt;-5%,"melhorar 5pp","manter acima de -5%"),"")</f>
        <v/>
      </c>
      <c r="AV5" s="131" t="str">
        <f>IF(AT5&lt;&gt;"",IF(AT5&lt;-5%,AT5+5%,-5%),"")</f>
        <v/>
      </c>
      <c r="AW5" s="132" t="str">
        <f t="shared" ref="AW5:AW32" si="4">IF(M5&lt;&gt;"",M5,"")</f>
        <v/>
      </c>
      <c r="AX5" s="133" t="str">
        <f>IF(COUNT($F5:L5)&gt;0,IF(AW5&lt;&gt;"",IF(AW5&gt;=AV5,1,0),""),"")</f>
        <v/>
      </c>
      <c r="AY5" s="296" t="str">
        <f>IF(COUNT(AX5:AX6)=2,IF(AND(AT5&lt;-5%,SUM(AX5:AX6)&gt;=1),1,IF(AND(AT5&gt;=-5%,SUM(AX5:AX6)=2),1,0)),"")</f>
        <v/>
      </c>
      <c r="AZ5" s="291" t="str">
        <f>IF(AND('Domínio 1'!I14&lt;&gt;"",AY5&lt;&gt;""),'Domínio 1'!I14,"")</f>
        <v/>
      </c>
      <c r="BA5" s="290" t="str">
        <f>IF(AND(COUNT(AY5:AY20)=COUNT(AZ5:AZ20),COUNT(AZ5:AZ20)&gt;0),ROUND((IF(AY5&lt;&gt;"",AZ5*AY5,0)+IF(AY7&lt;&gt;"",AZ7*AY7,0)+IF(AY9&lt;&gt;"",AZ9*AY9,0)+IF(AY11&lt;&gt;"",AZ11*AY11,0)+IF(AY13&lt;&gt;"",AZ13*AY13,0)+IF(AY15&lt;&gt;"",AZ15*AY15,0)+IF(AY17&lt;&gt;"",AZ17*AY17,0)+IF(AY19&lt;&gt;"",AZ19*AY19,0))/SUM(AZ5:AZ20),2),"")</f>
        <v/>
      </c>
    </row>
    <row r="6" spans="2:61" s="139" customFormat="1" ht="24" hidden="1" customHeight="1" x14ac:dyDescent="0.2">
      <c r="B6" s="305"/>
      <c r="C6" s="301"/>
      <c r="D6" s="301"/>
      <c r="E6" s="135" t="s">
        <v>1</v>
      </c>
      <c r="F6" s="136" t="str">
        <f>IF('Domínio 1'!O7&lt;&gt;"",'Domínio 1'!O7,"")</f>
        <v/>
      </c>
      <c r="G6" s="136" t="str">
        <f>IF('Domínio 1'!O8&lt;&gt;"",'Domínio 1'!O8,"")</f>
        <v/>
      </c>
      <c r="H6" s="136" t="str">
        <f>IF('Domínio 1'!O9&lt;&gt;"",'Domínio 1'!O9,"")</f>
        <v/>
      </c>
      <c r="I6" s="136" t="str">
        <f>IF('Domínio 1'!O10&lt;&gt;"",'Domínio 1'!O10,"")</f>
        <v/>
      </c>
      <c r="J6" s="136" t="str">
        <f>IF('Domínio 1'!O11&lt;&gt;"",'Domínio 1'!O11,"")</f>
        <v/>
      </c>
      <c r="K6" s="136" t="str">
        <f>IF('Domínio 1'!O12&lt;&gt;"",'Domínio 1'!O12,"")</f>
        <v/>
      </c>
      <c r="L6" s="136" t="str">
        <f>IF('Domínio 1'!O13&lt;&gt;"",'Domínio 1'!O13,"")</f>
        <v/>
      </c>
      <c r="M6" s="136" t="str">
        <f>IF('Domínio 1'!O14&lt;&gt;"",'Domínio 1'!O14,"")</f>
        <v/>
      </c>
      <c r="N6" s="137" t="str">
        <f>IF(COUNT(F6:H6)&gt;0,ROUND(AVERAGE(F6:H6),2),"")</f>
        <v/>
      </c>
      <c r="O6" s="137" t="str">
        <f>IF(N6&lt;&gt;"",IF(N5&lt;-5%,"melhorar 0,10",IF(N6&lt;-0.05,"melhorar 0,05","manter acima de -0,05")),"")</f>
        <v/>
      </c>
      <c r="P6" s="137" t="str">
        <f>IF(N6&lt;&gt;"",IF(N5&lt;-5%,N6+0.1,IF(N6&lt;-0.05,N6+0.05,-0.05)),"")</f>
        <v/>
      </c>
      <c r="Q6" s="137" t="str">
        <f t="shared" si="0"/>
        <v/>
      </c>
      <c r="R6" s="138" t="str">
        <f>IF(COUNT($F6:H6)&gt;0,IF(Q6&lt;&gt;"",IF(Q6&gt;=P6,1,0),""),"")</f>
        <v/>
      </c>
      <c r="S6" s="288"/>
      <c r="T6" s="288"/>
      <c r="U6" s="287"/>
      <c r="V6" s="137" t="str">
        <f>IF(COUNT(F6:I6)&gt;0,IF(I6&lt;&gt;"",ROUND(AVERAGE(F6:I6),2),ROUND(AVERAGE(F6:H6,P6),2)),"")</f>
        <v/>
      </c>
      <c r="W6" s="137" t="str">
        <f>IF(V6&lt;&gt;"",IF(V5&lt;-5%,"melhorar 0,10",IF(V6&lt;-0.05,"melhorar 0,05","manter acima de -0,05")),"")</f>
        <v/>
      </c>
      <c r="X6" s="137" t="str">
        <f>IF(V6&lt;&gt;"",IF(V5&lt;-5%,V6+0.1,IF(V6&lt;-0.05,V6+0.05,-0.05)),"")</f>
        <v/>
      </c>
      <c r="Y6" s="137" t="str">
        <f t="shared" si="1"/>
        <v/>
      </c>
      <c r="Z6" s="138" t="str">
        <f>IF(COUNT($F6:I6)&gt;0,IF(Y6&lt;&gt;"",IF(Y6&gt;=X6,1,0),""),"")</f>
        <v/>
      </c>
      <c r="AA6" s="288"/>
      <c r="AB6" s="288"/>
      <c r="AC6" s="287"/>
      <c r="AD6" s="137" t="str">
        <f>IF(COUNT(F6:J6)&gt;0,IF(J6&lt;&gt;"",ROUND(AVERAGE(F6:J6),2),IF(I6&lt;&gt;"",ROUND(AVERAGE(F6:I6,X6),2),IF(COUNT(F6:H6)&gt;0,ROUND(AVERAGE(F6:H6,P6,X6),2),""))),"")</f>
        <v/>
      </c>
      <c r="AE6" s="137" t="str">
        <f>IF(AD6&lt;&gt;"",IF(AD5&lt;-5%,"melhorar 0,10",IF(AD6&lt;-0.05,"melhorar 0,05","manter acima de -0,05")),"")</f>
        <v/>
      </c>
      <c r="AF6" s="137" t="str">
        <f>IF(AD6&lt;&gt;"",IF(AD5&lt;-5%,AD6+0.1,IF(AD6&lt;-0.05,AD6+0.05,-0.05)),"")</f>
        <v/>
      </c>
      <c r="AG6" s="137" t="str">
        <f t="shared" si="2"/>
        <v/>
      </c>
      <c r="AH6" s="138" t="str">
        <f>IF(COUNT($F6:J6)&gt;0,IF(AG6&lt;&gt;"",IF(AG6&gt;=AF6,1,0),""),"")</f>
        <v/>
      </c>
      <c r="AI6" s="288"/>
      <c r="AJ6" s="288"/>
      <c r="AK6" s="287"/>
      <c r="AL6" s="137" t="str">
        <f>IF(COUNT(F6:K6)&gt;0,IF(K6&lt;&gt;"",ROUND(AVERAGE(F6:K6),2),IF(J6&lt;&gt;"",ROUND(AVERAGE(F6:J6,AF6),2),IF(I6&lt;&gt;"",ROUND(AVERAGE(F6:I6,X6,AF6),2),IF(COUNT(F6:H6)&gt;0,ROUND(AVERAGE(F6:H6,P6,X6,AF6),2),"")))),"")</f>
        <v/>
      </c>
      <c r="AM6" s="137" t="str">
        <f>IF(AL6&lt;&gt;"",IF(AL5&lt;-5%,"melhorar 0,10",IF(AL6&lt;-0.05,"melhorar 0,05","manter acima de -0,05")),"")</f>
        <v/>
      </c>
      <c r="AN6" s="137" t="str">
        <f>IF(AL6&lt;&gt;"",IF(AL5&lt;-5%,AL6+0.1,IF(AL6&lt;-0.05,AL6+0.05,-0.05)),"")</f>
        <v/>
      </c>
      <c r="AO6" s="137" t="str">
        <f t="shared" si="3"/>
        <v/>
      </c>
      <c r="AP6" s="138" t="str">
        <f>IF(COUNT($F6:K6)&gt;0,IF(AO6&lt;&gt;"",IF(AO6&gt;=AN6,1,0),""),"")</f>
        <v/>
      </c>
      <c r="AQ6" s="288"/>
      <c r="AR6" s="288"/>
      <c r="AS6" s="287"/>
      <c r="AT6" s="137" t="str">
        <f>IF(COUNT(F6:L6)&gt;0,IF(L6&lt;&gt;"",ROUND(AVERAGE(F6:L6),2),IF(K6&lt;&gt;"",ROUND(AVERAGE(F6:K6,AN6),2),IF(J6&lt;&gt;"",ROUND(AVERAGE(F6:J6,AF6,AN6),2),IF(I6&lt;&gt;"",ROUND(AVERAGE(F6:I6,X6,AF6,AN6),2),IF(COUNT(F6:H6)&gt;0,ROUND(AVERAGE(F6:H6,P6,X6,AF6,AN6),2),""))))),"")</f>
        <v/>
      </c>
      <c r="AU6" s="137" t="str">
        <f>IF(AT6&lt;&gt;"",IF(AT5&lt;-5%,"melhorar 0,10",IF(AT6&lt;-0.05,"melhorar 0,05","manter acima de -0,05")),"")</f>
        <v/>
      </c>
      <c r="AV6" s="137" t="str">
        <f>IF(AT6&lt;&gt;"",IF(AT5&lt;-5%,AT6+0.1,IF(AT6&lt;-0.05,AT6+0.05,-0.05)),"")</f>
        <v/>
      </c>
      <c r="AW6" s="137" t="str">
        <f t="shared" si="4"/>
        <v/>
      </c>
      <c r="AX6" s="138" t="str">
        <f>IF(COUNT($F6:L6)&gt;0,IF(AW6&lt;&gt;"",IF(AW6&gt;=AV6,1,0),""),"")</f>
        <v/>
      </c>
      <c r="AY6" s="288"/>
      <c r="AZ6" s="288"/>
      <c r="BA6" s="287"/>
    </row>
    <row r="7" spans="2:61" s="134" customFormat="1" ht="24" hidden="1" customHeight="1" x14ac:dyDescent="0.2">
      <c r="B7" s="305"/>
      <c r="C7" s="301"/>
      <c r="D7" s="301" t="s">
        <v>21</v>
      </c>
      <c r="E7" s="140" t="s">
        <v>8</v>
      </c>
      <c r="F7" s="130" t="str">
        <f>IF('Domínio 1'!L16&lt;&gt;"",'Domínio 1'!L16,"")</f>
        <v/>
      </c>
      <c r="G7" s="130" t="str">
        <f>IF('Domínio 1'!L17&lt;&gt;"",'Domínio 1'!L17,"")</f>
        <v/>
      </c>
      <c r="H7" s="130" t="str">
        <f>IF('Domínio 1'!L18&lt;&gt;"",'Domínio 1'!L18,"")</f>
        <v/>
      </c>
      <c r="I7" s="130" t="str">
        <f>IF('Domínio 1'!L19&lt;&gt;"",'Domínio 1'!L19,"")</f>
        <v/>
      </c>
      <c r="J7" s="130" t="str">
        <f>IF('Domínio 1'!L20&lt;&gt;"",'Domínio 1'!L20,"")</f>
        <v/>
      </c>
      <c r="K7" s="130" t="str">
        <f>IF('Domínio 1'!L21&lt;&gt;"",'Domínio 1'!L21,"")</f>
        <v/>
      </c>
      <c r="L7" s="130" t="str">
        <f>IF('Domínio 1'!L22&lt;&gt;"",'Domínio 1'!L22,"")</f>
        <v/>
      </c>
      <c r="M7" s="130" t="str">
        <f>IF('Domínio 1'!L23&lt;&gt;"",'Domínio 1'!L23,"")</f>
        <v/>
      </c>
      <c r="N7" s="131" t="str">
        <f>IF(COUNT(F7:H7)&gt;0,ROUND(AVERAGE(F7:H7),4),"")</f>
        <v/>
      </c>
      <c r="O7" s="132" t="str">
        <f>IF(N7&lt;&gt;"",IF(N7&lt;-5%,"melhorar 5pp","manter acima de -5%"),"")</f>
        <v/>
      </c>
      <c r="P7" s="132" t="str">
        <f>IF(N7&lt;&gt;"",IF(N7&lt;-5%,N7+5%,-5%),"")</f>
        <v/>
      </c>
      <c r="Q7" s="132" t="str">
        <f t="shared" si="0"/>
        <v/>
      </c>
      <c r="R7" s="138" t="str">
        <f>IF(COUNT($F7:H7)&gt;0,IF(Q7&lt;&gt;"",IF(Q7&gt;=P7,1,0),""),"")</f>
        <v/>
      </c>
      <c r="S7" s="288" t="str">
        <f>IF(COUNT(R7:R8)=2,IF(AND(N7&lt;-5%,SUM(R7:R8)&gt;=1),1,IF(AND(N7&gt;=-5%,SUM(R7:R8)=2),1,0)),"")</f>
        <v/>
      </c>
      <c r="T7" s="289" t="str">
        <f>IF(AND('Domínio 1'!I19&lt;&gt;"",S7&lt;&gt;""),'Domínio 1'!I19,"")</f>
        <v/>
      </c>
      <c r="U7" s="287"/>
      <c r="V7" s="131" t="str">
        <f>IF(COUNT(F7:I7)&gt;0,IF(I7&lt;&gt;"",ROUND(AVERAGE(F7:I7),4),ROUND(AVERAGE(F7:H7,P7),4)),"")</f>
        <v/>
      </c>
      <c r="W7" s="132" t="str">
        <f>IF(V7&lt;&gt;"",IF(V7&lt;-5%,"melhorar 5pp","manter acima de -5%"),"")</f>
        <v/>
      </c>
      <c r="X7" s="132" t="str">
        <f>IF(V7&lt;&gt;"",IF(V7&lt;-5%,V7+5%,-5%),"")</f>
        <v/>
      </c>
      <c r="Y7" s="132" t="str">
        <f t="shared" si="1"/>
        <v/>
      </c>
      <c r="Z7" s="138" t="str">
        <f>IF(COUNT($F7:I7)&gt;0,IF(Y7&lt;&gt;"",IF(Y7&gt;=X7,1,0),""),"")</f>
        <v/>
      </c>
      <c r="AA7" s="288" t="str">
        <f>IF(COUNT(Z7:Z8)=2,IF(AND(V7&lt;-5%,SUM(Z7:Z8)&gt;=1),1,IF(AND(V7&gt;=-5%,SUM(Z7:Z8)=2),1,0)),"")</f>
        <v/>
      </c>
      <c r="AB7" s="289" t="str">
        <f>IF(AND('Domínio 1'!I20&lt;&gt;"",AA7&lt;&gt;""),'Domínio 1'!I20,"")</f>
        <v/>
      </c>
      <c r="AC7" s="287"/>
      <c r="AD7" s="131" t="str">
        <f>IF(COUNT(F7:J7)&gt;0,IF(J7&lt;&gt;"",ROUND(AVERAGE(F7:J7),4),IF(I7&lt;&gt;"",ROUND(AVERAGE(F7:I7,X7),4),IF(COUNT(F7:H7)&gt;0,ROUND(AVERAGE(F7:H7,P7,X7),4),""))),"")</f>
        <v/>
      </c>
      <c r="AE7" s="132" t="str">
        <f>IF(AD7&lt;&gt;"",IF(AD7&lt;-5%,"melhorar 5pp","manter acima de -5%"),"")</f>
        <v/>
      </c>
      <c r="AF7" s="132" t="str">
        <f>IF(AD7&lt;&gt;"",IF(AD7&lt;-5%,AD7+5%,-5%),"")</f>
        <v/>
      </c>
      <c r="AG7" s="132" t="str">
        <f t="shared" si="2"/>
        <v/>
      </c>
      <c r="AH7" s="138" t="str">
        <f>IF(COUNT($F7:J7)&gt;0,IF(AG7&lt;&gt;"",IF(AG7&gt;=AF7,1,0),""),"")</f>
        <v/>
      </c>
      <c r="AI7" s="288" t="str">
        <f>IF(COUNT(AH7:AH8)=2,IF(AND(AD7&lt;-5%,SUM(AH7:AH8)&gt;=1),1,IF(AND(AD7&gt;=-5%,SUM(AH7:AH8)=2),1,0)),"")</f>
        <v/>
      </c>
      <c r="AJ7" s="289" t="str">
        <f>IF(AND('Domínio 1'!I21&lt;&gt;"",AI7&lt;&gt;""),'Domínio 1'!I21,"")</f>
        <v/>
      </c>
      <c r="AK7" s="287"/>
      <c r="AL7" s="131" t="str">
        <f>IF(COUNT(F7:K7)&gt;0,IF(K7&lt;&gt;"",ROUND(AVERAGE(F7:K7),4),IF(J7&lt;&gt;"",ROUND(AVERAGE(F7:J7,AF7),4),IF(I7&lt;&gt;"",ROUND(AVERAGE(F7:I7,X7,AF7),4),IF(COUNT(F7:H7)&gt;0,ROUND(AVERAGE(F7:H7,P7,X7,AF7),4),"")))),"")</f>
        <v/>
      </c>
      <c r="AM7" s="132" t="str">
        <f>IF(AL7&lt;&gt;"",IF(AL7&lt;-5%,"melhorar 5pp","manter acima de -5%"),"")</f>
        <v/>
      </c>
      <c r="AN7" s="132" t="str">
        <f>IF(AL7&lt;&gt;"",IF(AL7&lt;-5%,AL7+5%,-5%),"")</f>
        <v/>
      </c>
      <c r="AO7" s="132" t="str">
        <f t="shared" si="3"/>
        <v/>
      </c>
      <c r="AP7" s="138" t="str">
        <f>IF(COUNT($F7:K7)&gt;0,IF(AO7&lt;&gt;"",IF(AO7&gt;=AN7,1,0),""),"")</f>
        <v/>
      </c>
      <c r="AQ7" s="288" t="str">
        <f>IF(COUNT(AP7:AP8)=2,IF(AND(AL7&lt;-5%,SUM(AP7:AP8)&gt;=1),1,IF(AND(AL7&gt;=-5%,SUM(AP7:AP8)=2),1,0)),"")</f>
        <v/>
      </c>
      <c r="AR7" s="289" t="str">
        <f>IF(AND('Domínio 1'!I22&lt;&gt;"",AQ7&lt;&gt;""),'Domínio 1'!I22,"")</f>
        <v/>
      </c>
      <c r="AS7" s="287"/>
      <c r="AT7" s="131" t="str">
        <f>IF(COUNT(F7:L7)&gt;0,IF(L7&lt;&gt;"",ROUND(AVERAGE(F7:L7),4),IF(K7&lt;&gt;"",ROUND(AVERAGE(F7:K7,AN7),4),IF(J7&lt;&gt;"",ROUND(AVERAGE(F7:J7,AF7,AN7),4),IF(I7&lt;&gt;"",ROUND(AVERAGE(F7:I7,X7,AF7,AN7),4),IF(COUNT(F7:H7)&gt;0,ROUND(AVERAGE(F7:H7,P7,X7,AF7,AN7),4),""))))),"")</f>
        <v/>
      </c>
      <c r="AU7" s="132" t="str">
        <f>IF(AT7&lt;&gt;"",IF(AT7&lt;-5%,"melhorar 5pp","manter acima de -5%"),"")</f>
        <v/>
      </c>
      <c r="AV7" s="132" t="str">
        <f>IF(AT7&lt;&gt;"",IF(AT7&lt;-5%,AT7+5%,-5%),"")</f>
        <v/>
      </c>
      <c r="AW7" s="132" t="str">
        <f t="shared" si="4"/>
        <v/>
      </c>
      <c r="AX7" s="138" t="str">
        <f>IF(COUNT($F7:L7)&gt;0,IF(AW7&lt;&gt;"",IF(AW7&gt;=AV7,1,0),""),"")</f>
        <v/>
      </c>
      <c r="AY7" s="288" t="str">
        <f>IF(COUNT(AX7:AX8)=2,IF(AND(AT7&lt;-5%,SUM(AX7:AX8)&gt;=1),1,IF(AND(AT7&gt;=-5%,SUM(AX7:AX8)=2),1,0)),"")</f>
        <v/>
      </c>
      <c r="AZ7" s="289" t="str">
        <f>IF(AND('Domínio 1'!I23&lt;&gt;"",AY7&lt;&gt;""),'Domínio 1'!I23,"")</f>
        <v/>
      </c>
      <c r="BA7" s="287"/>
    </row>
    <row r="8" spans="2:61" s="134" customFormat="1" ht="24" hidden="1" customHeight="1" x14ac:dyDescent="0.2">
      <c r="B8" s="305"/>
      <c r="C8" s="301"/>
      <c r="D8" s="301"/>
      <c r="E8" s="140" t="s">
        <v>1</v>
      </c>
      <c r="F8" s="136" t="str">
        <f>IF('Domínio 1'!O16&lt;&gt;"",'Domínio 1'!O16,"")</f>
        <v/>
      </c>
      <c r="G8" s="136" t="str">
        <f>IF('Domínio 1'!O17&lt;&gt;"",'Domínio 1'!O17,"")</f>
        <v/>
      </c>
      <c r="H8" s="136" t="str">
        <f>IF('Domínio 1'!O18&lt;&gt;"",'Domínio 1'!O18,"")</f>
        <v/>
      </c>
      <c r="I8" s="136" t="str">
        <f>IF('Domínio 1'!O19&lt;&gt;"",'Domínio 1'!O19,"")</f>
        <v/>
      </c>
      <c r="J8" s="136" t="str">
        <f>IF('Domínio 1'!O20&lt;&gt;"",'Domínio 1'!O20,"")</f>
        <v/>
      </c>
      <c r="K8" s="136" t="str">
        <f>IF('Domínio 1'!O21&lt;&gt;"",'Domínio 1'!O21,"")</f>
        <v/>
      </c>
      <c r="L8" s="136" t="str">
        <f>IF('Domínio 1'!O22&lt;&gt;"",'Domínio 1'!O22,"")</f>
        <v/>
      </c>
      <c r="M8" s="136" t="str">
        <f>IF('Domínio 1'!O23&lt;&gt;"",'Domínio 1'!O23,"")</f>
        <v/>
      </c>
      <c r="N8" s="137" t="str">
        <f>IF(COUNT(F8:H8)&gt;0,ROUND(AVERAGE(F8:H8),2),"")</f>
        <v/>
      </c>
      <c r="O8" s="137" t="str">
        <f>IF(N8&lt;&gt;"",IF(N7&lt;-5%,"melhorar 0,10",IF(N8&lt;-0.05,"melhorar 0,05","manter acima de -0,05")),"")</f>
        <v/>
      </c>
      <c r="P8" s="137" t="str">
        <f>IF(N8&lt;&gt;"",IF(N7&lt;-5%,N8+0.1,IF(N8&lt;-0.05,N8+0.05,-0.05)),"")</f>
        <v/>
      </c>
      <c r="Q8" s="137" t="str">
        <f t="shared" si="0"/>
        <v/>
      </c>
      <c r="R8" s="138" t="str">
        <f>IF(COUNT($F8:H8)&gt;0,IF(Q8&lt;&gt;"",IF(Q8&gt;=P8,1,0),""),"")</f>
        <v/>
      </c>
      <c r="S8" s="288"/>
      <c r="T8" s="288"/>
      <c r="U8" s="287"/>
      <c r="V8" s="137" t="str">
        <f>IF(COUNT(F8:I8)&gt;0,IF(I8&lt;&gt;"",ROUND(AVERAGE(F8:I8),2),ROUND(AVERAGE(F8:H8,P8),2)),"")</f>
        <v/>
      </c>
      <c r="W8" s="137" t="str">
        <f>IF(V8&lt;&gt;"",IF(V7&lt;-5%,"melhorar 0,10",IF(V8&lt;-0.05,"melhorar 0,05","manter acima de -0,05")),"")</f>
        <v/>
      </c>
      <c r="X8" s="137" t="str">
        <f>IF(V8&lt;&gt;"",IF(V7&lt;-5%,V8+0.1,IF(V8&lt;-0.05,V8+0.05,-0.05)),"")</f>
        <v/>
      </c>
      <c r="Y8" s="137" t="str">
        <f t="shared" si="1"/>
        <v/>
      </c>
      <c r="Z8" s="138" t="str">
        <f>IF(COUNT($F8:I8)&gt;0,IF(Y8&lt;&gt;"",IF(Y8&gt;=X8,1,0),""),"")</f>
        <v/>
      </c>
      <c r="AA8" s="288"/>
      <c r="AB8" s="288"/>
      <c r="AC8" s="287"/>
      <c r="AD8" s="137" t="str">
        <f>IF(COUNT(F8:J8)&gt;0,IF(J8&lt;&gt;"",ROUND(AVERAGE(F8:J8),2),IF(I8&lt;&gt;"",ROUND(AVERAGE(F8:I8,X8),2),IF(COUNT(F8:H8)&gt;0,ROUND(AVERAGE(F8:H8,P8,X8),2),""))),"")</f>
        <v/>
      </c>
      <c r="AE8" s="137" t="str">
        <f>IF(AD8&lt;&gt;"",IF(AD7&lt;-5%,"melhorar 0,10",IF(AD8&lt;-0.05,"melhorar 0,05","manter acima de -0,05")),"")</f>
        <v/>
      </c>
      <c r="AF8" s="137" t="str">
        <f>IF(AD8&lt;&gt;"",IF(AD7&lt;-5%,AD8+0.1,IF(AD8&lt;-0.05,AD8+0.05,-0.05)),"")</f>
        <v/>
      </c>
      <c r="AG8" s="137" t="str">
        <f t="shared" si="2"/>
        <v/>
      </c>
      <c r="AH8" s="138" t="str">
        <f>IF(COUNT($F8:J8)&gt;0,IF(AG8&lt;&gt;"",IF(AG8&gt;=AF8,1,0),""),"")</f>
        <v/>
      </c>
      <c r="AI8" s="288"/>
      <c r="AJ8" s="288"/>
      <c r="AK8" s="287"/>
      <c r="AL8" s="137" t="str">
        <f>IF(COUNT(F8:K8)&gt;0,IF(K8&lt;&gt;"",ROUND(AVERAGE(F8:K8),2),IF(J8&lt;&gt;"",ROUND(AVERAGE(F8:J8,AF8),2),IF(I8&lt;&gt;"",ROUND(AVERAGE(F8:I8,X8,AF8),2),IF(COUNT(F8:H8)&gt;0,ROUND(AVERAGE(F8:H8,P8,X8,AF8),2),"")))),"")</f>
        <v/>
      </c>
      <c r="AM8" s="137" t="str">
        <f>IF(AL8&lt;&gt;"",IF(AL7&lt;-5%,"melhorar 0,10",IF(AL8&lt;-0.05,"melhorar 0,05","manter acima de -0,05")),"")</f>
        <v/>
      </c>
      <c r="AN8" s="137" t="str">
        <f>IF(AL8&lt;&gt;"",IF(AL7&lt;-5%,AL8+0.1,IF(AL8&lt;-0.05,AL8+0.05,-0.05)),"")</f>
        <v/>
      </c>
      <c r="AO8" s="137" t="str">
        <f t="shared" si="3"/>
        <v/>
      </c>
      <c r="AP8" s="138" t="str">
        <f>IF(COUNT($F8:K8)&gt;0,IF(AO8&lt;&gt;"",IF(AO8&gt;=AN8,1,0),""),"")</f>
        <v/>
      </c>
      <c r="AQ8" s="288"/>
      <c r="AR8" s="288"/>
      <c r="AS8" s="287"/>
      <c r="AT8" s="137" t="str">
        <f>IF(COUNT(F8:L8)&gt;0,IF(L8&lt;&gt;"",ROUND(AVERAGE(F8:L8),2),IF(K8&lt;&gt;"",ROUND(AVERAGE(F8:K8,AN8),2),IF(J8&lt;&gt;"",ROUND(AVERAGE(F8:J8,AF8,AN8),2),IF(I8&lt;&gt;"",ROUND(AVERAGE(F8:I8,X8,AF8,AN8),2),IF(COUNT(F8:H8)&gt;0,ROUND(AVERAGE(F8:H8,P8,X8,AF8,AN8),2),""))))),"")</f>
        <v/>
      </c>
      <c r="AU8" s="137" t="str">
        <f>IF(AT8&lt;&gt;"",IF(AT7&lt;-5%,"melhorar 0,10",IF(AT8&lt;-0.05,"melhorar 0,05","manter acima de -0,05")),"")</f>
        <v/>
      </c>
      <c r="AV8" s="137" t="str">
        <f>IF(AT8&lt;&gt;"",IF(AT7&lt;-5%,AT8+0.1,IF(AT8&lt;-0.05,AT8+0.05,-0.05)),"")</f>
        <v/>
      </c>
      <c r="AW8" s="137" t="str">
        <f t="shared" si="4"/>
        <v/>
      </c>
      <c r="AX8" s="138" t="str">
        <f>IF(COUNT($F8:L8)&gt;0,IF(AW8&lt;&gt;"",IF(AW8&gt;=AV8,1,0),""),"")</f>
        <v/>
      </c>
      <c r="AY8" s="288"/>
      <c r="AZ8" s="288"/>
      <c r="BA8" s="287"/>
    </row>
    <row r="9" spans="2:61" s="134" customFormat="1" ht="24" hidden="1" customHeight="1" x14ac:dyDescent="0.2">
      <c r="B9" s="305"/>
      <c r="C9" s="301" t="s">
        <v>36</v>
      </c>
      <c r="D9" s="301" t="s">
        <v>22</v>
      </c>
      <c r="E9" s="140" t="s">
        <v>8</v>
      </c>
      <c r="F9" s="130" t="str">
        <f>IF('Domínio 1'!L25&lt;&gt;"",'Domínio 1'!L25,"")</f>
        <v/>
      </c>
      <c r="G9" s="130" t="str">
        <f>IF('Domínio 1'!L26&lt;&gt;"",'Domínio 1'!L26,"")</f>
        <v/>
      </c>
      <c r="H9" s="130" t="str">
        <f>IF('Domínio 1'!L27&lt;&gt;"",'Domínio 1'!L27,"")</f>
        <v/>
      </c>
      <c r="I9" s="130" t="str">
        <f>IF('Domínio 1'!L28&lt;&gt;"",'Domínio 1'!L28,"")</f>
        <v/>
      </c>
      <c r="J9" s="130" t="str">
        <f>IF('Domínio 1'!L29&lt;&gt;"",'Domínio 1'!L29,"")</f>
        <v/>
      </c>
      <c r="K9" s="130" t="str">
        <f>IF('Domínio 1'!L30&lt;&gt;"",'Domínio 1'!L30,"")</f>
        <v/>
      </c>
      <c r="L9" s="130" t="str">
        <f>IF('Domínio 1'!L31&lt;&gt;"",'Domínio 1'!L31,"")</f>
        <v/>
      </c>
      <c r="M9" s="130" t="str">
        <f>IF('Domínio 1'!L32&lt;&gt;"",'Domínio 1'!L32,"")</f>
        <v/>
      </c>
      <c r="N9" s="131" t="str">
        <f>IF(COUNT(F9:H9)&gt;0,ROUND(AVERAGE(F9:H9),4),"")</f>
        <v/>
      </c>
      <c r="O9" s="132" t="str">
        <f>IF(N9&lt;&gt;"",IF(N9&lt;-5%,"melhorar 5pp","manter acima de -5%"),"")</f>
        <v/>
      </c>
      <c r="P9" s="132" t="str">
        <f>IF(N9&lt;&gt;"",IF(N9&lt;-5%,N9+5%,-5%),"")</f>
        <v/>
      </c>
      <c r="Q9" s="132" t="str">
        <f t="shared" si="0"/>
        <v/>
      </c>
      <c r="R9" s="138" t="str">
        <f>IF(COUNT($F9:H9)&gt;0,IF(Q9&lt;&gt;"",IF(Q9&gt;=P9,1,0),""),"")</f>
        <v/>
      </c>
      <c r="S9" s="288" t="str">
        <f>IF(COUNT(R9:R10)=2,IF(AND(N9&lt;-5%,SUM(R9:R10)&gt;=1),1,IF(AND(N9&gt;=-5%,SUM(R9:R10)=2),1,0)),"")</f>
        <v/>
      </c>
      <c r="T9" s="289" t="str">
        <f>IF(AND('Domínio 1'!I28&lt;&gt;"",S9&lt;&gt;""),'Domínio 1'!I28,"")</f>
        <v/>
      </c>
      <c r="U9" s="287"/>
      <c r="V9" s="131" t="str">
        <f>IF(COUNT(F9:I9)&gt;0,IF(I9&lt;&gt;"",ROUND(AVERAGE(F9:I9),4),ROUND(AVERAGE(F9:H9,P9),4)),"")</f>
        <v/>
      </c>
      <c r="W9" s="132" t="str">
        <f>IF(V9&lt;&gt;"",IF(V9&lt;-5%,"melhorar 5pp","manter acima de -5%"),"")</f>
        <v/>
      </c>
      <c r="X9" s="132" t="str">
        <f>IF(V9&lt;&gt;"",IF(V9&lt;-5%,V9+5%,-5%),"")</f>
        <v/>
      </c>
      <c r="Y9" s="132" t="str">
        <f t="shared" si="1"/>
        <v/>
      </c>
      <c r="Z9" s="138" t="str">
        <f>IF(COUNT($F9:I9)&gt;0,IF(Y9&lt;&gt;"",IF(Y9&gt;=X9,1,0),""),"")</f>
        <v/>
      </c>
      <c r="AA9" s="288" t="str">
        <f>IF(COUNT(Z9:Z10)=2,IF(AND(V9&lt;-5%,SUM(Z9:Z10)&gt;=1),1,IF(AND(V9&gt;=-5%,SUM(Z9:Z10)=2),1,0)),"")</f>
        <v/>
      </c>
      <c r="AB9" s="289" t="str">
        <f>IF(AND('Domínio 1'!I29&lt;&gt;"",AA9&lt;&gt;""),'Domínio 1'!I29,"")</f>
        <v/>
      </c>
      <c r="AC9" s="287"/>
      <c r="AD9" s="131" t="str">
        <f>IF(COUNT(F9:J9)&gt;0,IF(J9&lt;&gt;"",ROUND(AVERAGE(F9:J9),4),IF(I9&lt;&gt;"",ROUND(AVERAGE(F9:I9,X9),4),IF(COUNT(F9:H9)&gt;0,ROUND(AVERAGE(F9:H9,P9,X9),4),""))),"")</f>
        <v/>
      </c>
      <c r="AE9" s="132" t="str">
        <f>IF(AD9&lt;&gt;"",IF(AD9&lt;-5%,"melhorar 5pp","manter acima de -5%"),"")</f>
        <v/>
      </c>
      <c r="AF9" s="132" t="str">
        <f>IF(AD9&lt;&gt;"",IF(AD9&lt;-5%,AD9+5%,-5%),"")</f>
        <v/>
      </c>
      <c r="AG9" s="132" t="str">
        <f t="shared" si="2"/>
        <v/>
      </c>
      <c r="AH9" s="138" t="str">
        <f>IF(COUNT($F9:J9)&gt;0,IF(AG9&lt;&gt;"",IF(AG9&gt;=AF9,1,0),""),"")</f>
        <v/>
      </c>
      <c r="AI9" s="288" t="str">
        <f>IF(COUNT(AH9:AH10)=2,IF(AND(AD9&lt;-5%,SUM(AH9:AH10)&gt;=1),1,IF(AND(AD9&gt;=-5%,SUM(AH9:AH10)=2),1,0)),"")</f>
        <v/>
      </c>
      <c r="AJ9" s="289" t="str">
        <f>IF(AND('Domínio 1'!I30&lt;&gt;"",AI9&lt;&gt;""),'Domínio 1'!I30,"")</f>
        <v/>
      </c>
      <c r="AK9" s="287"/>
      <c r="AL9" s="131" t="str">
        <f>IF(COUNT(F9:K9)&gt;0,IF(K9&lt;&gt;"",ROUND(AVERAGE(F9:K9),4),IF(J9&lt;&gt;"",ROUND(AVERAGE(F9:J9,AF9),4),IF(I9&lt;&gt;"",ROUND(AVERAGE(F9:I9,X9,AF9),4),IF(COUNT(F9:H9)&gt;0,ROUND(AVERAGE(F9:H9,P9,X9,AF9),4),"")))),"")</f>
        <v/>
      </c>
      <c r="AM9" s="132" t="str">
        <f>IF(AL9&lt;&gt;"",IF(AL9&lt;-5%,"melhorar 5pp","manter acima de -5%"),"")</f>
        <v/>
      </c>
      <c r="AN9" s="132" t="str">
        <f>IF(AL9&lt;&gt;"",IF(AL9&lt;-5%,AL9+5%,-5%),"")</f>
        <v/>
      </c>
      <c r="AO9" s="132" t="str">
        <f t="shared" si="3"/>
        <v/>
      </c>
      <c r="AP9" s="138" t="str">
        <f>IF(COUNT($F9:K9)&gt;0,IF(AO9&lt;&gt;"",IF(AO9&gt;=AN9,1,0),""),"")</f>
        <v/>
      </c>
      <c r="AQ9" s="288" t="str">
        <f>IF(COUNT(AP9:AP10)=2,IF(AND(AL9&lt;-5%,SUM(AP9:AP10)&gt;=1),1,IF(AND(AL9&gt;=-5%,SUM(AP9:AP10)=2),1,0)),"")</f>
        <v/>
      </c>
      <c r="AR9" s="289" t="str">
        <f>IF(AND('Domínio 1'!I31&lt;&gt;"",AQ9&lt;&gt;""),'Domínio 1'!I31,"")</f>
        <v/>
      </c>
      <c r="AS9" s="287"/>
      <c r="AT9" s="131" t="str">
        <f>IF(COUNT(F9:L9)&gt;0,IF(L9&lt;&gt;"",ROUND(AVERAGE(F9:L9),4),IF(K9&lt;&gt;"",ROUND(AVERAGE(F9:K9,AN9),4),IF(J9&lt;&gt;"",ROUND(AVERAGE(F9:J9,AF9,AN9),4),IF(I9&lt;&gt;"",ROUND(AVERAGE(F9:I9,X9,AF9,AN9),4),IF(COUNT(F9:H9)&gt;0,ROUND(AVERAGE(F9:H9,P9,X9,AF9,AN9),4),""))))),"")</f>
        <v/>
      </c>
      <c r="AU9" s="132" t="str">
        <f>IF(AT9&lt;&gt;"",IF(AT9&lt;-5%,"melhorar 5pp","manter acima de -5%"),"")</f>
        <v/>
      </c>
      <c r="AV9" s="132" t="str">
        <f>IF(AT9&lt;&gt;"",IF(AT9&lt;-5%,AT9+5%,-5%),"")</f>
        <v/>
      </c>
      <c r="AW9" s="132" t="str">
        <f t="shared" si="4"/>
        <v/>
      </c>
      <c r="AX9" s="138" t="str">
        <f>IF(COUNT($F9:L9)&gt;0,IF(AW9&lt;&gt;"",IF(AW9&gt;=AV9,1,0),""),"")</f>
        <v/>
      </c>
      <c r="AY9" s="288" t="str">
        <f>IF(COUNT(AX9:AX10)=2,IF(AND(AT9&lt;-5%,SUM(AX9:AX10)&gt;=1),1,IF(AND(AT9&gt;=-5%,SUM(AX9:AX10)=2),1,0)),"")</f>
        <v/>
      </c>
      <c r="AZ9" s="289" t="str">
        <f>IF(AND('Domínio 1'!I32&lt;&gt;"",AY9&lt;&gt;""),'Domínio 1'!I32,"")</f>
        <v/>
      </c>
      <c r="BA9" s="287"/>
    </row>
    <row r="10" spans="2:61" s="134" customFormat="1" ht="24" hidden="1" customHeight="1" x14ac:dyDescent="0.2">
      <c r="B10" s="305"/>
      <c r="C10" s="301"/>
      <c r="D10" s="301"/>
      <c r="E10" s="140" t="s">
        <v>1</v>
      </c>
      <c r="F10" s="136" t="str">
        <f>IF('Domínio 1'!O25&lt;&gt;"",'Domínio 1'!O25,"")</f>
        <v/>
      </c>
      <c r="G10" s="136" t="str">
        <f>IF('Domínio 1'!O26&lt;&gt;"",'Domínio 1'!O26,"")</f>
        <v/>
      </c>
      <c r="H10" s="136" t="str">
        <f>IF('Domínio 1'!O27&lt;&gt;"",'Domínio 1'!O27,"")</f>
        <v/>
      </c>
      <c r="I10" s="136" t="str">
        <f>IF('Domínio 1'!O28&lt;&gt;"",'Domínio 1'!O28,"")</f>
        <v/>
      </c>
      <c r="J10" s="136" t="str">
        <f>IF('Domínio 1'!O29&lt;&gt;"",'Domínio 1'!O29,"")</f>
        <v/>
      </c>
      <c r="K10" s="136" t="str">
        <f>IF('Domínio 1'!O30&lt;&gt;"",'Domínio 1'!O30,"")</f>
        <v/>
      </c>
      <c r="L10" s="136" t="str">
        <f>IF('Domínio 1'!O31&lt;&gt;"",'Domínio 1'!O31,"")</f>
        <v/>
      </c>
      <c r="M10" s="136" t="str">
        <f>IF('Domínio 1'!O32&lt;&gt;"",'Domínio 1'!O32,"")</f>
        <v/>
      </c>
      <c r="N10" s="137" t="str">
        <f>IF(COUNT(F10:H10)&gt;0,ROUND(AVERAGE(F10:H10),2),"")</f>
        <v/>
      </c>
      <c r="O10" s="137" t="str">
        <f>IF(N10&lt;&gt;"",IF(N9&lt;-5%,"melhorar 0,10",IF(N10&lt;-0.05,"melhorar 0,05","manter acima de -0,05")),"")</f>
        <v/>
      </c>
      <c r="P10" s="137" t="str">
        <f>IF(N10&lt;&gt;"",IF(N9&lt;-5%,N10+0.1,IF(N10&lt;-0.05,N10+0.05,-0.05)),"")</f>
        <v/>
      </c>
      <c r="Q10" s="137" t="str">
        <f t="shared" si="0"/>
        <v/>
      </c>
      <c r="R10" s="138" t="str">
        <f>IF(COUNT($F10:H10)&gt;0,IF(Q10&lt;&gt;"",IF(Q10&gt;=P10,1,0),""),"")</f>
        <v/>
      </c>
      <c r="S10" s="288"/>
      <c r="T10" s="288"/>
      <c r="U10" s="287"/>
      <c r="V10" s="137" t="str">
        <f>IF(COUNT(F10:I10)&gt;0,IF(I10&lt;&gt;"",ROUND(AVERAGE(F10:I10),2),ROUND(AVERAGE(F10:H10,P10),2)),"")</f>
        <v/>
      </c>
      <c r="W10" s="137" t="str">
        <f>IF(V10&lt;&gt;"",IF(V9&lt;-5%,"melhorar 0,10",IF(V10&lt;-0.05,"melhorar 0,05","manter acima de -0,05")),"")</f>
        <v/>
      </c>
      <c r="X10" s="137" t="str">
        <f>IF(V10&lt;&gt;"",IF(V9&lt;-5%,V10+0.1,IF(V10&lt;-0.05,V10+0.05,-0.05)),"")</f>
        <v/>
      </c>
      <c r="Y10" s="137" t="str">
        <f t="shared" si="1"/>
        <v/>
      </c>
      <c r="Z10" s="138" t="str">
        <f>IF(COUNT($F10:I10)&gt;0,IF(Y10&lt;&gt;"",IF(Y10&gt;=X10,1,0),""),"")</f>
        <v/>
      </c>
      <c r="AA10" s="288"/>
      <c r="AB10" s="288"/>
      <c r="AC10" s="287"/>
      <c r="AD10" s="137" t="str">
        <f>IF(COUNT(F10:J10)&gt;0,IF(J10&lt;&gt;"",ROUND(AVERAGE(F10:J10),2),IF(I10&lt;&gt;"",ROUND(AVERAGE(F10:I10,X10),2),IF(COUNT(F10:H10)&gt;0,ROUND(AVERAGE(F10:H10,P10,X10),2),""))),"")</f>
        <v/>
      </c>
      <c r="AE10" s="137" t="str">
        <f>IF(AD10&lt;&gt;"",IF(AD9&lt;-5%,"melhorar 0,10",IF(AD10&lt;-0.05,"melhorar 0,05","manter acima de -0,05")),"")</f>
        <v/>
      </c>
      <c r="AF10" s="137" t="str">
        <f>IF(AD10&lt;&gt;"",IF(AD9&lt;-5%,AD10+0.1,IF(AD10&lt;-0.05,AD10+0.05,-0.05)),"")</f>
        <v/>
      </c>
      <c r="AG10" s="137" t="str">
        <f t="shared" si="2"/>
        <v/>
      </c>
      <c r="AH10" s="138" t="str">
        <f>IF(COUNT($F10:J10)&gt;0,IF(AG10&lt;&gt;"",IF(AG10&gt;=AF10,1,0),""),"")</f>
        <v/>
      </c>
      <c r="AI10" s="288"/>
      <c r="AJ10" s="288"/>
      <c r="AK10" s="287"/>
      <c r="AL10" s="137" t="str">
        <f>IF(COUNT(F10:K10)&gt;0,IF(K10&lt;&gt;"",ROUND(AVERAGE(F10:K10),2),IF(J10&lt;&gt;"",ROUND(AVERAGE(F10:J10,AF10),2),IF(I10&lt;&gt;"",ROUND(AVERAGE(F10:I10,X10,AF10),2),IF(COUNT(F10:H10)&gt;0,ROUND(AVERAGE(F10:H10,P10,X10,AF10),2),"")))),"")</f>
        <v/>
      </c>
      <c r="AM10" s="137" t="str">
        <f>IF(AL10&lt;&gt;"",IF(AL9&lt;-5%,"melhorar 0,10",IF(AL10&lt;-0.05,"melhorar 0,05","manter acima de -0,05")),"")</f>
        <v/>
      </c>
      <c r="AN10" s="137" t="str">
        <f>IF(AL10&lt;&gt;"",IF(AL9&lt;-5%,AL10+0.1,IF(AL10&lt;-0.05,AL10+0.05,-0.05)),"")</f>
        <v/>
      </c>
      <c r="AO10" s="137" t="str">
        <f t="shared" si="3"/>
        <v/>
      </c>
      <c r="AP10" s="138" t="str">
        <f>IF(COUNT($F10:K10)&gt;0,IF(AO10&lt;&gt;"",IF(AO10&gt;=AN10,1,0),""),"")</f>
        <v/>
      </c>
      <c r="AQ10" s="288"/>
      <c r="AR10" s="288"/>
      <c r="AS10" s="287"/>
      <c r="AT10" s="137" t="str">
        <f>IF(COUNT(F10:L10)&gt;0,IF(L10&lt;&gt;"",ROUND(AVERAGE(F10:L10),2),IF(K10&lt;&gt;"",ROUND(AVERAGE(F10:K10,AN10),2),IF(J10&lt;&gt;"",ROUND(AVERAGE(F10:J10,AF10,AN10),2),IF(I10&lt;&gt;"",ROUND(AVERAGE(F10:I10,X10,AF10,AN10),2),IF(COUNT(F10:H10)&gt;0,ROUND(AVERAGE(F10:H10,P10,X10,AF10,AN10),2),""))))),"")</f>
        <v/>
      </c>
      <c r="AU10" s="137" t="str">
        <f>IF(AT10&lt;&gt;"",IF(AT9&lt;-5%,"melhorar 0,10",IF(AT10&lt;-0.05,"melhorar 0,05","manter acima de -0,05")),"")</f>
        <v/>
      </c>
      <c r="AV10" s="137" t="str">
        <f>IF(AT10&lt;&gt;"",IF(AT9&lt;-5%,AT10+0.1,IF(AT10&lt;-0.05,AT10+0.05,-0.05)),"")</f>
        <v/>
      </c>
      <c r="AW10" s="137" t="str">
        <f t="shared" si="4"/>
        <v/>
      </c>
      <c r="AX10" s="138" t="str">
        <f>IF(COUNT($F10:L10)&gt;0,IF(AW10&lt;&gt;"",IF(AW10&gt;=AV10,1,0),""),"")</f>
        <v/>
      </c>
      <c r="AY10" s="288"/>
      <c r="AZ10" s="288"/>
      <c r="BA10" s="287"/>
    </row>
    <row r="11" spans="2:61" s="134" customFormat="1" ht="24" hidden="1" customHeight="1" x14ac:dyDescent="0.2">
      <c r="B11" s="305"/>
      <c r="C11" s="301"/>
      <c r="D11" s="301" t="s">
        <v>23</v>
      </c>
      <c r="E11" s="140" t="s">
        <v>8</v>
      </c>
      <c r="F11" s="130" t="str">
        <f>IF('Domínio 1'!L34&lt;&gt;"",'Domínio 1'!L34,"")</f>
        <v/>
      </c>
      <c r="G11" s="130" t="str">
        <f>IF('Domínio 1'!L35&lt;&gt;"",'Domínio 1'!L35,"")</f>
        <v/>
      </c>
      <c r="H11" s="130" t="str">
        <f>IF('Domínio 1'!L36&lt;&gt;"",'Domínio 1'!L36,"")</f>
        <v/>
      </c>
      <c r="I11" s="130" t="str">
        <f>IF('Domínio 1'!L37&lt;&gt;"",'Domínio 1'!L37,"")</f>
        <v/>
      </c>
      <c r="J11" s="130" t="str">
        <f>IF('Domínio 1'!L38&lt;&gt;"",'Domínio 1'!L38,"")</f>
        <v/>
      </c>
      <c r="K11" s="130" t="str">
        <f>IF('Domínio 1'!L39&lt;&gt;"",'Domínio 1'!L39,"")</f>
        <v/>
      </c>
      <c r="L11" s="130" t="str">
        <f>IF('Domínio 1'!L40&lt;&gt;"",'Domínio 1'!L40,"")</f>
        <v/>
      </c>
      <c r="M11" s="130" t="str">
        <f>IF('Domínio 1'!L41&lt;&gt;"",'Domínio 1'!L41,"")</f>
        <v/>
      </c>
      <c r="N11" s="131" t="str">
        <f>IF(COUNT(F11:H11)&gt;0,ROUND(AVERAGE(F11:H11),4),"")</f>
        <v/>
      </c>
      <c r="O11" s="132" t="str">
        <f>IF(N11&lt;&gt;"",IF(N11&lt;-5%,"melhorar 5pp","manter acima de -5%"),"")</f>
        <v/>
      </c>
      <c r="P11" s="132" t="str">
        <f>IF(N11&lt;&gt;"",IF(N11&lt;-5%,N11+5%,-5%),"")</f>
        <v/>
      </c>
      <c r="Q11" s="132" t="str">
        <f t="shared" si="0"/>
        <v/>
      </c>
      <c r="R11" s="138" t="str">
        <f>IF(COUNT($F11:H11)&gt;0,IF(Q11&lt;&gt;"",IF(Q11&gt;=P11,1,0),""),"")</f>
        <v/>
      </c>
      <c r="S11" s="288" t="str">
        <f>IF(COUNT(R11:R12)=2,IF(AND(N11&lt;-5%,SUM(R11:R12)&gt;=1),1,IF(AND(N11&gt;=-5%,SUM(R11:R12)=2),1,0)),"")</f>
        <v/>
      </c>
      <c r="T11" s="289" t="str">
        <f>IF(AND('Domínio 1'!I37&lt;&gt;"",S11&lt;&gt;""),'Domínio 1'!I37,"")</f>
        <v/>
      </c>
      <c r="U11" s="287"/>
      <c r="V11" s="131" t="str">
        <f>IF(COUNT(F11:I11)&gt;0,IF(I11&lt;&gt;"",ROUND(AVERAGE(F11:I11),4),ROUND(AVERAGE(F11:H11,P11),4)),"")</f>
        <v/>
      </c>
      <c r="W11" s="132" t="str">
        <f>IF(V11&lt;&gt;"",IF(V11&lt;-5%,"melhorar 5pp","manter acima de -5%"),"")</f>
        <v/>
      </c>
      <c r="X11" s="132" t="str">
        <f>IF(V11&lt;&gt;"",IF(V11&lt;-5%,V11+5%,-5%),"")</f>
        <v/>
      </c>
      <c r="Y11" s="132" t="str">
        <f t="shared" si="1"/>
        <v/>
      </c>
      <c r="Z11" s="138" t="str">
        <f>IF(COUNT($F11:I11)&gt;0,IF(Y11&lt;&gt;"",IF(Y11&gt;=X11,1,0),""),"")</f>
        <v/>
      </c>
      <c r="AA11" s="288" t="str">
        <f>IF(COUNT(Z11:Z12)=2,IF(AND(V11&lt;-5%,SUM(Z11:Z12)&gt;=1),1,IF(AND(V11&gt;=-5%,SUM(Z11:Z12)=2),1,0)),"")</f>
        <v/>
      </c>
      <c r="AB11" s="289" t="str">
        <f>IF(AND('Domínio 1'!I38&lt;&gt;"",AA11&lt;&gt;""),'Domínio 1'!I38,"")</f>
        <v/>
      </c>
      <c r="AC11" s="287"/>
      <c r="AD11" s="131" t="str">
        <f>IF(COUNT(F11:J11)&gt;0,IF(J11&lt;&gt;"",ROUND(AVERAGE(F11:J11),4),IF(I11&lt;&gt;"",ROUND(AVERAGE(F11:I11,X11),4),IF(COUNT(F11:H11)&gt;0,ROUND(AVERAGE(F11:H11,P11,X11),4),""))),"")</f>
        <v/>
      </c>
      <c r="AE11" s="132" t="str">
        <f>IF(AD11&lt;&gt;"",IF(AD11&lt;-5%,"melhorar 5pp","manter acima de -5%"),"")</f>
        <v/>
      </c>
      <c r="AF11" s="132" t="str">
        <f>IF(AD11&lt;&gt;"",IF(AD11&lt;-5%,AD11+5%,-5%),"")</f>
        <v/>
      </c>
      <c r="AG11" s="132" t="str">
        <f t="shared" si="2"/>
        <v/>
      </c>
      <c r="AH11" s="138" t="str">
        <f>IF(COUNT($F11:J11)&gt;0,IF(AG11&lt;&gt;"",IF(AG11&gt;=AF11,1,0),""),"")</f>
        <v/>
      </c>
      <c r="AI11" s="288" t="str">
        <f>IF(COUNT(AH11:AH12)=2,IF(AND(AD11&lt;-5%,SUM(AH11:AH12)&gt;=1),1,IF(AND(AD11&gt;=-5%,SUM(AH11:AH12)=2),1,0)),"")</f>
        <v/>
      </c>
      <c r="AJ11" s="289" t="str">
        <f>IF(AND('Domínio 1'!I39&lt;&gt;"",AI11&lt;&gt;""),'Domínio 1'!I39,"")</f>
        <v/>
      </c>
      <c r="AK11" s="287"/>
      <c r="AL11" s="131" t="str">
        <f>IF(COUNT(F11:K11)&gt;0,IF(K11&lt;&gt;"",ROUND(AVERAGE(F11:K11),4),IF(J11&lt;&gt;"",ROUND(AVERAGE(F11:J11,AF11),4),IF(I11&lt;&gt;"",ROUND(AVERAGE(F11:I11,X11,AF11),4),IF(COUNT(F11:H11)&gt;0,ROUND(AVERAGE(F11:H11,P11,X11,AF11),4),"")))),"")</f>
        <v/>
      </c>
      <c r="AM11" s="132" t="str">
        <f>IF(AL11&lt;&gt;"",IF(AL11&lt;-5%,"melhorar 5pp","manter acima de -5%"),"")</f>
        <v/>
      </c>
      <c r="AN11" s="132" t="str">
        <f>IF(AL11&lt;&gt;"",IF(AL11&lt;-5%,AL11+5%,-5%),"")</f>
        <v/>
      </c>
      <c r="AO11" s="132" t="str">
        <f t="shared" si="3"/>
        <v/>
      </c>
      <c r="AP11" s="138" t="str">
        <f>IF(COUNT($F11:K11)&gt;0,IF(AO11&lt;&gt;"",IF(AO11&gt;=AN11,1,0),""),"")</f>
        <v/>
      </c>
      <c r="AQ11" s="288" t="str">
        <f>IF(COUNT(AP11:AP12)=2,IF(AND(AL11&lt;-5%,SUM(AP11:AP12)&gt;=1),1,IF(AND(AL11&gt;=-5%,SUM(AP11:AP12)=2),1,0)),"")</f>
        <v/>
      </c>
      <c r="AR11" s="289" t="str">
        <f>IF(AND('Domínio 1'!I40&lt;&gt;"",AQ11&lt;&gt;""),'Domínio 1'!I40,"")</f>
        <v/>
      </c>
      <c r="AS11" s="287"/>
      <c r="AT11" s="131" t="str">
        <f>IF(COUNT(F11:L11)&gt;0,IF(L11&lt;&gt;"",ROUND(AVERAGE(F11:L11),4),IF(K11&lt;&gt;"",ROUND(AVERAGE(F11:K11,AN11),4),IF(J11&lt;&gt;"",ROUND(AVERAGE(F11:J11,AF11,AN11),4),IF(I11&lt;&gt;"",ROUND(AVERAGE(F11:I11,X11,AF11,AN11),4),IF(COUNT(F11:H11)&gt;0,ROUND(AVERAGE(F11:H11,P11,X11,AF11,AN11),4),""))))),"")</f>
        <v/>
      </c>
      <c r="AU11" s="132" t="str">
        <f>IF(AT11&lt;&gt;"",IF(AT11&lt;-5%,"melhorar 5pp","manter acima de -5%"),"")</f>
        <v/>
      </c>
      <c r="AV11" s="132" t="str">
        <f>IF(AT11&lt;&gt;"",IF(AT11&lt;-5%,AT11+5%,-5%),"")</f>
        <v/>
      </c>
      <c r="AW11" s="132" t="str">
        <f t="shared" si="4"/>
        <v/>
      </c>
      <c r="AX11" s="138" t="str">
        <f>IF(COUNT($F11:L11)&gt;0,IF(AW11&lt;&gt;"",IF(AW11&gt;=AV11,1,0),""),"")</f>
        <v/>
      </c>
      <c r="AY11" s="288" t="str">
        <f>IF(COUNT(AX11:AX12)=2,IF(AND(AT11&lt;-5%,SUM(AX11:AX12)&gt;=1),1,IF(AND(AT11&gt;=-5%,SUM(AX11:AX12)=2),1,0)),"")</f>
        <v/>
      </c>
      <c r="AZ11" s="289" t="str">
        <f>IF(AND('Domínio 1'!I41&lt;&gt;"",AY11&lt;&gt;""),'Domínio 1'!I41,"")</f>
        <v/>
      </c>
      <c r="BA11" s="287"/>
    </row>
    <row r="12" spans="2:61" s="134" customFormat="1" ht="24" hidden="1" customHeight="1" x14ac:dyDescent="0.2">
      <c r="B12" s="305"/>
      <c r="C12" s="301"/>
      <c r="D12" s="301"/>
      <c r="E12" s="140" t="s">
        <v>1</v>
      </c>
      <c r="F12" s="136" t="str">
        <f>IF('Domínio 1'!O34&lt;&gt;"",'Domínio 1'!O34,"")</f>
        <v/>
      </c>
      <c r="G12" s="136" t="str">
        <f>IF('Domínio 1'!O35&lt;&gt;"",'Domínio 1'!O35,"")</f>
        <v/>
      </c>
      <c r="H12" s="136" t="str">
        <f>IF('Domínio 1'!O36&lt;&gt;"",'Domínio 1'!O36,"")</f>
        <v/>
      </c>
      <c r="I12" s="136" t="str">
        <f>IF('Domínio 1'!O37&lt;&gt;"",'Domínio 1'!O37,"")</f>
        <v/>
      </c>
      <c r="J12" s="136" t="str">
        <f>IF('Domínio 1'!O38&lt;&gt;"",'Domínio 1'!O38,"")</f>
        <v/>
      </c>
      <c r="K12" s="136" t="str">
        <f>IF('Domínio 1'!O39&lt;&gt;"",'Domínio 1'!O39,"")</f>
        <v/>
      </c>
      <c r="L12" s="136" t="str">
        <f>IF('Domínio 1'!O40&lt;&gt;"",'Domínio 1'!O40,"")</f>
        <v/>
      </c>
      <c r="M12" s="136" t="str">
        <f>IF('Domínio 1'!O41&lt;&gt;"",'Domínio 1'!O41,"")</f>
        <v/>
      </c>
      <c r="N12" s="137" t="str">
        <f>IF(COUNT(F12:H12)&gt;0,ROUND(AVERAGE(F12:H12),2),"")</f>
        <v/>
      </c>
      <c r="O12" s="137" t="str">
        <f>IF(N12&lt;&gt;"",IF(N11&lt;-5%,"melhorar 0,10",IF(N12&lt;-0.05,"melhorar 0,05","manter acima de -0,05")),"")</f>
        <v/>
      </c>
      <c r="P12" s="137" t="str">
        <f>IF(N12&lt;&gt;"",IF(N11&lt;-5%,N12+0.1,IF(N12&lt;-0.05,N12+0.05,-0.05)),"")</f>
        <v/>
      </c>
      <c r="Q12" s="137" t="str">
        <f t="shared" si="0"/>
        <v/>
      </c>
      <c r="R12" s="138" t="str">
        <f>IF(COUNT($F12:H12)&gt;0,IF(Q12&lt;&gt;"",IF(Q12&gt;=P12,1,0),""),"")</f>
        <v/>
      </c>
      <c r="S12" s="288"/>
      <c r="T12" s="288"/>
      <c r="U12" s="287"/>
      <c r="V12" s="137" t="str">
        <f>IF(COUNT(F12:I12)&gt;0,IF(I12&lt;&gt;"",ROUND(AVERAGE(F12:I12),2),ROUND(AVERAGE(F12:H12,P12),2)),"")</f>
        <v/>
      </c>
      <c r="W12" s="137" t="str">
        <f>IF(V12&lt;&gt;"",IF(V11&lt;-5%,"melhorar 0,10",IF(V12&lt;-0.05,"melhorar 0,05","manter acima de -0,05")),"")</f>
        <v/>
      </c>
      <c r="X12" s="137" t="str">
        <f>IF(V12&lt;&gt;"",IF(V11&lt;-5%,V12+0.1,IF(V12&lt;-0.05,V12+0.05,-0.05)),"")</f>
        <v/>
      </c>
      <c r="Y12" s="137" t="str">
        <f t="shared" si="1"/>
        <v/>
      </c>
      <c r="Z12" s="138" t="str">
        <f>IF(COUNT($F12:I12)&gt;0,IF(Y12&lt;&gt;"",IF(Y12&gt;=X12,1,0),""),"")</f>
        <v/>
      </c>
      <c r="AA12" s="288"/>
      <c r="AB12" s="288"/>
      <c r="AC12" s="287"/>
      <c r="AD12" s="137" t="str">
        <f>IF(COUNT(F12:J12)&gt;0,IF(J12&lt;&gt;"",ROUND(AVERAGE(F12:J12),2),IF(I12&lt;&gt;"",ROUND(AVERAGE(F12:I12,X12),2),IF(COUNT(F12:H12)&gt;0,ROUND(AVERAGE(F12:H12,P12,X12),2),""))),"")</f>
        <v/>
      </c>
      <c r="AE12" s="137" t="str">
        <f>IF(AD12&lt;&gt;"",IF(AD11&lt;-5%,"melhorar 0,10",IF(AD12&lt;-0.05,"melhorar 0,05","manter acima de -0,05")),"")</f>
        <v/>
      </c>
      <c r="AF12" s="137" t="str">
        <f>IF(AD12&lt;&gt;"",IF(AD11&lt;-5%,AD12+0.1,IF(AD12&lt;-0.05,AD12+0.05,-0.05)),"")</f>
        <v/>
      </c>
      <c r="AG12" s="137" t="str">
        <f t="shared" si="2"/>
        <v/>
      </c>
      <c r="AH12" s="138" t="str">
        <f>IF(COUNT($F12:J12)&gt;0,IF(AG12&lt;&gt;"",IF(AG12&gt;=AF12,1,0),""),"")</f>
        <v/>
      </c>
      <c r="AI12" s="288"/>
      <c r="AJ12" s="288"/>
      <c r="AK12" s="287"/>
      <c r="AL12" s="137" t="str">
        <f>IF(COUNT(F12:K12)&gt;0,IF(K12&lt;&gt;"",ROUND(AVERAGE(F12:K12),2),IF(J12&lt;&gt;"",ROUND(AVERAGE(F12:J12,AF12),2),IF(I12&lt;&gt;"",ROUND(AVERAGE(F12:I12,X12,AF12),2),IF(COUNT(F12:H12)&gt;0,ROUND(AVERAGE(F12:H12,P12,X12,AF12),2),"")))),"")</f>
        <v/>
      </c>
      <c r="AM12" s="137" t="str">
        <f>IF(AL12&lt;&gt;"",IF(AL11&lt;-5%,"melhorar 0,10",IF(AL12&lt;-0.05,"melhorar 0,05","manter acima de -0,05")),"")</f>
        <v/>
      </c>
      <c r="AN12" s="137" t="str">
        <f>IF(AL12&lt;&gt;"",IF(AL11&lt;-5%,AL12+0.1,IF(AL12&lt;-0.05,AL12+0.05,-0.05)),"")</f>
        <v/>
      </c>
      <c r="AO12" s="137" t="str">
        <f t="shared" si="3"/>
        <v/>
      </c>
      <c r="AP12" s="138" t="str">
        <f>IF(COUNT($F12:K12)&gt;0,IF(AO12&lt;&gt;"",IF(AO12&gt;=AN12,1,0),""),"")</f>
        <v/>
      </c>
      <c r="AQ12" s="288"/>
      <c r="AR12" s="288"/>
      <c r="AS12" s="287"/>
      <c r="AT12" s="137" t="str">
        <f>IF(COUNT(F12:L12)&gt;0,IF(L12&lt;&gt;"",ROUND(AVERAGE(F12:L12),2),IF(K12&lt;&gt;"",ROUND(AVERAGE(F12:K12,AN12),2),IF(J12&lt;&gt;"",ROUND(AVERAGE(F12:J12,AF12,AN12),2),IF(I12&lt;&gt;"",ROUND(AVERAGE(F12:I12,X12,AF12,AN12),2),IF(COUNT(F12:H12)&gt;0,ROUND(AVERAGE(F12:H12,P12,X12,AF12,AN12),2),""))))),"")</f>
        <v/>
      </c>
      <c r="AU12" s="137" t="str">
        <f>IF(AT12&lt;&gt;"",IF(AT11&lt;-5%,"melhorar 0,10",IF(AT12&lt;-0.05,"melhorar 0,05","manter acima de -0,05")),"")</f>
        <v/>
      </c>
      <c r="AV12" s="137" t="str">
        <f>IF(AT12&lt;&gt;"",IF(AT11&lt;-5%,AT12+0.1,IF(AT12&lt;-0.05,AT12+0.05,-0.05)),"")</f>
        <v/>
      </c>
      <c r="AW12" s="137" t="str">
        <f t="shared" si="4"/>
        <v/>
      </c>
      <c r="AX12" s="138" t="str">
        <f>IF(COUNT($F12:L12)&gt;0,IF(AW12&lt;&gt;"",IF(AW12&gt;=AV12,1,0),""),"")</f>
        <v/>
      </c>
      <c r="AY12" s="288"/>
      <c r="AZ12" s="288"/>
      <c r="BA12" s="287"/>
    </row>
    <row r="13" spans="2:61" s="134" customFormat="1" ht="24" customHeight="1" x14ac:dyDescent="0.2">
      <c r="B13" s="305"/>
      <c r="C13" s="301" t="s">
        <v>37</v>
      </c>
      <c r="D13" s="301" t="s">
        <v>133</v>
      </c>
      <c r="E13" s="140" t="s">
        <v>8</v>
      </c>
      <c r="F13" s="130">
        <f>IF('Domínio 1'!L43&lt;&gt;"",'Domínio 1'!L43,"")</f>
        <v>-1.2652561553430974E-2</v>
      </c>
      <c r="G13" s="130">
        <f>IF('Domínio 1'!L44&lt;&gt;"",'Domínio 1'!L44,"")</f>
        <v>-0.13088625563167311</v>
      </c>
      <c r="H13" s="130">
        <f>IF('Domínio 1'!L45&lt;&gt;"",'Domínio 1'!L45,"")</f>
        <v>-0.11266730784643741</v>
      </c>
      <c r="I13" s="130">
        <f>IF('Domínio 1'!L46&lt;&gt;"",'Domínio 1'!L46,"")</f>
        <v>1.4828571428571413E-2</v>
      </c>
      <c r="J13" s="130" t="str">
        <f>IF('Domínio 1'!L47&lt;&gt;"",'Domínio 1'!L47,"")</f>
        <v/>
      </c>
      <c r="K13" s="130" t="str">
        <f>IF('Domínio 1'!L48&lt;&gt;"",'Domínio 1'!L48,"")</f>
        <v/>
      </c>
      <c r="L13" s="130" t="str">
        <f>IF('Domínio 1'!L49&lt;&gt;"",'Domínio 1'!L49,"")</f>
        <v/>
      </c>
      <c r="M13" s="130" t="str">
        <f>IF('Domínio 1'!L50&lt;&gt;"",'Domínio 1'!L50,"")</f>
        <v/>
      </c>
      <c r="N13" s="131">
        <f>IF(COUNT(F13:H13)&gt;0,ROUND(AVERAGE(F13:H13),4),"")</f>
        <v>-8.5400000000000004E-2</v>
      </c>
      <c r="O13" s="132" t="str">
        <f>IF(N13&lt;&gt;"",IF(N13&lt;-5%,"melhorar 5pp","manter acima de -5%"),"")</f>
        <v>melhorar 5pp</v>
      </c>
      <c r="P13" s="132">
        <f>IF(N13&lt;&gt;"",IF(N13&lt;-5%,N13+5%,-5%),"")</f>
        <v>-3.5400000000000001E-2</v>
      </c>
      <c r="Q13" s="132">
        <f t="shared" si="0"/>
        <v>1.4828571428571413E-2</v>
      </c>
      <c r="R13" s="138">
        <f>IF(COUNT($F13:H13)&gt;0,IF(Q13&lt;&gt;"",IF(Q13&gt;=P13,1,0),""),"")</f>
        <v>1</v>
      </c>
      <c r="S13" s="288">
        <f>IF(COUNT(R13:R14)=2,IF(AND(N13&lt;-5%,SUM(R13:R14)&gt;=1),1,IF(AND(N13&gt;=-5%,SUM(R13:R14)=2),1,0)),"")</f>
        <v>1</v>
      </c>
      <c r="T13" s="289">
        <f>IF(AND('Domínio 1'!I46&lt;&gt;"",S13&lt;&gt;""),'Domínio 1'!I46,"")</f>
        <v>35</v>
      </c>
      <c r="U13" s="287"/>
      <c r="V13" s="131">
        <f>IF(COUNT(F13:I13)&gt;0,IF(I13&lt;&gt;"",ROUND(AVERAGE(F13:I13),4),ROUND(AVERAGE(F13:H13,P13),4)),"")</f>
        <v>-6.0299999999999999E-2</v>
      </c>
      <c r="W13" s="132" t="str">
        <f>IF(V13&lt;&gt;"",IF(V13&lt;-5%,"melhorar 5pp","manter acima de -5%"),"")</f>
        <v>melhorar 5pp</v>
      </c>
      <c r="X13" s="132">
        <f>IF(V13&lt;&gt;"",IF(V13&lt;-5%,V13+5%,-5%),"")</f>
        <v>-1.0299999999999997E-2</v>
      </c>
      <c r="Y13" s="132" t="str">
        <f t="shared" si="1"/>
        <v/>
      </c>
      <c r="Z13" s="138" t="str">
        <f>IF(COUNT($F13:I13)&gt;0,IF(Y13&lt;&gt;"",IF(Y13&gt;=X13,1,0),""),"")</f>
        <v/>
      </c>
      <c r="AA13" s="288" t="str">
        <f>IF(COUNT(Z13:Z14)=2,IF(AND(V13&lt;-5%,SUM(Z13:Z14)&gt;=1),1,IF(AND(V13&gt;=-5%,SUM(Z13:Z14)=2),1,0)),"")</f>
        <v/>
      </c>
      <c r="AB13" s="289" t="str">
        <f>IF(AND('Domínio 1'!I47&lt;&gt;"",AA13&lt;&gt;""),'Domínio 1'!I47,"")</f>
        <v/>
      </c>
      <c r="AC13" s="287"/>
      <c r="AD13" s="131">
        <f>IF(COUNT(F13:J13)&gt;0,IF(J13&lt;&gt;"",ROUND(AVERAGE(F13:J13),4),IF(I13&lt;&gt;"",ROUND(AVERAGE(F13:I13,X13),4),IF(COUNT(F13:H13)&gt;0,ROUND(AVERAGE(F13:H13,P13,X13),4),""))),"")</f>
        <v>-5.0299999999999997E-2</v>
      </c>
      <c r="AE13" s="132" t="str">
        <f>IF(AD13&lt;&gt;"",IF(AD13&lt;-5%,"melhorar 5pp","manter acima de -5%"),"")</f>
        <v>melhorar 5pp</v>
      </c>
      <c r="AF13" s="132">
        <f>IF(AD13&lt;&gt;"",IF(AD13&lt;-5%,AD13+5%,-5%),"")</f>
        <v>-2.9999999999999472E-4</v>
      </c>
      <c r="AG13" s="132" t="str">
        <f t="shared" si="2"/>
        <v/>
      </c>
      <c r="AH13" s="138" t="str">
        <f>IF(COUNT($F13:J13)&gt;0,IF(AG13&lt;&gt;"",IF(AG13&gt;=AF13,1,0),""),"")</f>
        <v/>
      </c>
      <c r="AI13" s="288" t="str">
        <f>IF(COUNT(AH13:AH14)=2,IF(AND(AD13&lt;-5%,SUM(AH13:AH14)&gt;=1),1,IF(AND(AD13&gt;=-5%,SUM(AH13:AH14)=2),1,0)),"")</f>
        <v/>
      </c>
      <c r="AJ13" s="289" t="str">
        <f>IF(AND('Domínio 1'!I48&lt;&gt;"",AI13&lt;&gt;""),'Domínio 1'!I48,"")</f>
        <v/>
      </c>
      <c r="AK13" s="287"/>
      <c r="AL13" s="131">
        <f>IF(COUNT(F13:K13)&gt;0,IF(K13&lt;&gt;"",ROUND(AVERAGE(F13:K13),4),IF(J13&lt;&gt;"",ROUND(AVERAGE(F13:J13,AF13),4),IF(I13&lt;&gt;"",ROUND(AVERAGE(F13:I13,X13,AF13),4),IF(COUNT(F13:H13)&gt;0,ROUND(AVERAGE(F13:H13,P13,X13,AF13),4),"")))),"")</f>
        <v>-4.2000000000000003E-2</v>
      </c>
      <c r="AM13" s="132" t="str">
        <f>IF(AL13&lt;&gt;"",IF(AL13&lt;-5%,"melhorar 5pp","manter acima de -5%"),"")</f>
        <v>manter acima de -5%</v>
      </c>
      <c r="AN13" s="132">
        <f>IF(AL13&lt;&gt;"",IF(AL13&lt;-5%,AL13+5%,-5%),"")</f>
        <v>-0.05</v>
      </c>
      <c r="AO13" s="132" t="str">
        <f t="shared" si="3"/>
        <v/>
      </c>
      <c r="AP13" s="138" t="str">
        <f>IF(COUNT($F13:K13)&gt;0,IF(AO13&lt;&gt;"",IF(AO13&gt;=AN13,1,0),""),"")</f>
        <v/>
      </c>
      <c r="AQ13" s="288" t="str">
        <f>IF(COUNT(AP13:AP14)=2,IF(AND(AL13&lt;-5%,SUM(AP13:AP14)&gt;=1),1,IF(AND(AL13&gt;=-5%,SUM(AP13:AP14)=2),1,0)),"")</f>
        <v/>
      </c>
      <c r="AR13" s="289" t="str">
        <f>IF(AND('Domínio 1'!I49&lt;&gt;"",AQ13&lt;&gt;""),'Domínio 1'!I49,"")</f>
        <v/>
      </c>
      <c r="AS13" s="287"/>
      <c r="AT13" s="131">
        <f>IF(COUNT(F13:L13)&gt;0,IF(L13&lt;&gt;"",ROUND(AVERAGE(F13:L13),4),IF(K13&lt;&gt;"",ROUND(AVERAGE(F13:K13,AN13),4),IF(J13&lt;&gt;"",ROUND(AVERAGE(F13:J13,AF13,AN13),4),IF(I13&lt;&gt;"",ROUND(AVERAGE(F13:I13,X13,AF13,AN13),4),IF(COUNT(F13:H13)&gt;0,ROUND(AVERAGE(F13:H13,P13,X13,AF13,AN13),4),""))))),"")</f>
        <v>-4.3099999999999999E-2</v>
      </c>
      <c r="AU13" s="132" t="str">
        <f>IF(AT13&lt;&gt;"",IF(AT13&lt;-5%,"melhorar 5pp","manter acima de -5%"),"")</f>
        <v>manter acima de -5%</v>
      </c>
      <c r="AV13" s="132">
        <f>IF(AT13&lt;&gt;"",IF(AT13&lt;-5%,AT13+5%,-5%),"")</f>
        <v>-0.05</v>
      </c>
      <c r="AW13" s="132" t="str">
        <f t="shared" si="4"/>
        <v/>
      </c>
      <c r="AX13" s="138" t="str">
        <f>IF(COUNT($F13:L13)&gt;0,IF(AW13&lt;&gt;"",IF(AW13&gt;=AV13,1,0),""),"")</f>
        <v/>
      </c>
      <c r="AY13" s="288" t="str">
        <f>IF(COUNT(AX13:AX14)=2,IF(AND(AT13&lt;-5%,SUM(AX13:AX14)&gt;=1),1,IF(AND(AT13&gt;=-5%,SUM(AX13:AX14)=2),1,0)),"")</f>
        <v/>
      </c>
      <c r="AZ13" s="289" t="str">
        <f>IF(AND('Domínio 1'!I50&lt;&gt;"",AY13&lt;&gt;""),'Domínio 1'!I50,"")</f>
        <v/>
      </c>
      <c r="BA13" s="287"/>
    </row>
    <row r="14" spans="2:61" s="134" customFormat="1" ht="24" customHeight="1" x14ac:dyDescent="0.2">
      <c r="B14" s="305"/>
      <c r="C14" s="301"/>
      <c r="D14" s="301"/>
      <c r="E14" s="140" t="s">
        <v>1</v>
      </c>
      <c r="F14" s="136">
        <f>IF('Domínio 1'!O43&lt;&gt;"",'Domínio 1'!O43,"")</f>
        <v>2.2585191217530998E-2</v>
      </c>
      <c r="G14" s="136">
        <f>IF('Domínio 1'!O44&lt;&gt;"",'Domínio 1'!O44,"")</f>
        <v>-0.21970103002367969</v>
      </c>
      <c r="H14" s="136">
        <f>IF('Domínio 1'!O45&lt;&gt;"",'Domínio 1'!O45,"")</f>
        <v>-0.25906735059175556</v>
      </c>
      <c r="I14" s="136">
        <f>IF('Domínio 1'!O46&lt;&gt;"",'Domínio 1'!O46,"")</f>
        <v>-7.7142857142856958E-2</v>
      </c>
      <c r="J14" s="136" t="str">
        <f>IF('Domínio 1'!O47&lt;&gt;"",'Domínio 1'!O47,"")</f>
        <v/>
      </c>
      <c r="K14" s="136" t="str">
        <f>IF('Domínio 1'!O48&lt;&gt;"",'Domínio 1'!O48,"")</f>
        <v/>
      </c>
      <c r="L14" s="136" t="str">
        <f>IF('Domínio 1'!O49&lt;&gt;"",'Domínio 1'!O49,"")</f>
        <v/>
      </c>
      <c r="M14" s="136" t="str">
        <f>IF('Domínio 1'!O50&lt;&gt;"",'Domínio 1'!O50,"")</f>
        <v/>
      </c>
      <c r="N14" s="137">
        <f>IF(COUNT(F14:H14)&gt;0,ROUND(AVERAGE(F14:H14),2),"")</f>
        <v>-0.15</v>
      </c>
      <c r="O14" s="137" t="str">
        <f>IF(N14&lt;&gt;"",IF(N13&lt;-5%,"melhorar 0,10",IF(N14&lt;-0.05,"melhorar 0,05","manter acima de -0,05")),"")</f>
        <v>melhorar 0,10</v>
      </c>
      <c r="P14" s="137">
        <f>IF(N14&lt;&gt;"",IF(N13&lt;-5%,N14+0.1,IF(N14&lt;-0.05,N14+0.05,-0.05)),"")</f>
        <v>-4.9999999999999989E-2</v>
      </c>
      <c r="Q14" s="137">
        <f t="shared" si="0"/>
        <v>-7.7142857142856958E-2</v>
      </c>
      <c r="R14" s="138">
        <f>IF(COUNT($F14:H14)&gt;0,IF(Q14&lt;&gt;"",IF(Q14&gt;=P14,1,0),""),"")</f>
        <v>0</v>
      </c>
      <c r="S14" s="288"/>
      <c r="T14" s="288"/>
      <c r="U14" s="287"/>
      <c r="V14" s="137">
        <f>IF(COUNT(F14:I14)&gt;0,IF(I14&lt;&gt;"",ROUND(AVERAGE(F14:I14),2),ROUND(AVERAGE(F14:H14,P14),2)),"")</f>
        <v>-0.13</v>
      </c>
      <c r="W14" s="137" t="str">
        <f>IF(V14&lt;&gt;"",IF(V13&lt;-5%,"melhorar 0,10",IF(V14&lt;-0.05,"melhorar 0,05","manter acima de -0,05")),"")</f>
        <v>melhorar 0,10</v>
      </c>
      <c r="X14" s="137">
        <f>IF(V14&lt;&gt;"",IF(V13&lt;-5%,V14+0.1,IF(V14&lt;-0.05,V14+0.05,-0.05)),"")</f>
        <v>-0.03</v>
      </c>
      <c r="Y14" s="137" t="str">
        <f t="shared" si="1"/>
        <v/>
      </c>
      <c r="Z14" s="138" t="str">
        <f>IF(COUNT($F14:I14)&gt;0,IF(Y14&lt;&gt;"",IF(Y14&gt;=X14,1,0),""),"")</f>
        <v/>
      </c>
      <c r="AA14" s="288"/>
      <c r="AB14" s="288"/>
      <c r="AC14" s="287"/>
      <c r="AD14" s="137">
        <f>IF(COUNT(F14:J14)&gt;0,IF(J14&lt;&gt;"",ROUND(AVERAGE(F14:J14),2),IF(I14&lt;&gt;"",ROUND(AVERAGE(F14:I14,X14),2),IF(COUNT(F14:H14)&gt;0,ROUND(AVERAGE(F14:H14,P14,X14),2),""))),"")</f>
        <v>-0.11</v>
      </c>
      <c r="AE14" s="137" t="str">
        <f>IF(AD14&lt;&gt;"",IF(AD13&lt;-5%,"melhorar 0,10",IF(AD14&lt;-0.05,"melhorar 0,05","manter acima de -0,05")),"")</f>
        <v>melhorar 0,10</v>
      </c>
      <c r="AF14" s="137">
        <f>IF(AD14&lt;&gt;"",IF(AD13&lt;-5%,AD14+0.1,IF(AD14&lt;-0.05,AD14+0.05,-0.05)),"")</f>
        <v>-9.999999999999995E-3</v>
      </c>
      <c r="AG14" s="137" t="str">
        <f t="shared" si="2"/>
        <v/>
      </c>
      <c r="AH14" s="138" t="str">
        <f>IF(COUNT($F14:J14)&gt;0,IF(AG14&lt;&gt;"",IF(AG14&gt;=AF14,1,0),""),"")</f>
        <v/>
      </c>
      <c r="AI14" s="288"/>
      <c r="AJ14" s="288"/>
      <c r="AK14" s="287"/>
      <c r="AL14" s="137">
        <f>IF(COUNT(F14:K14)&gt;0,IF(K14&lt;&gt;"",ROUND(AVERAGE(F14:K14),2),IF(J14&lt;&gt;"",ROUND(AVERAGE(F14:J14,AF14),2),IF(I14&lt;&gt;"",ROUND(AVERAGE(F14:I14,X14,AF14),2),IF(COUNT(F14:H14)&gt;0,ROUND(AVERAGE(F14:H14,P14,X14,AF14),2),"")))),"")</f>
        <v>-0.1</v>
      </c>
      <c r="AM14" s="137" t="str">
        <f>IF(AL14&lt;&gt;"",IF(AL13&lt;-5%,"melhorar 0,10",IF(AL14&lt;-0.05,"melhorar 0,05","manter acima de -0,05")),"")</f>
        <v>melhorar 0,05</v>
      </c>
      <c r="AN14" s="137">
        <f>IF(AL14&lt;&gt;"",IF(AL13&lt;-5%,AL14+0.1,IF(AL14&lt;-0.05,AL14+0.05,-0.05)),"")</f>
        <v>-0.05</v>
      </c>
      <c r="AO14" s="137" t="str">
        <f t="shared" si="3"/>
        <v/>
      </c>
      <c r="AP14" s="138" t="str">
        <f>IF(COUNT($F14:K14)&gt;0,IF(AO14&lt;&gt;"",IF(AO14&gt;=AN14,1,0),""),"")</f>
        <v/>
      </c>
      <c r="AQ14" s="288"/>
      <c r="AR14" s="288"/>
      <c r="AS14" s="287"/>
      <c r="AT14" s="137">
        <f>IF(COUNT(F14:L14)&gt;0,IF(L14&lt;&gt;"",ROUND(AVERAGE(F14:L14),2),IF(K14&lt;&gt;"",ROUND(AVERAGE(F14:K14,AN14),2),IF(J14&lt;&gt;"",ROUND(AVERAGE(F14:J14,AF14,AN14),2),IF(I14&lt;&gt;"",ROUND(AVERAGE(F14:I14,X14,AF14,AN14),2),IF(COUNT(F14:H14)&gt;0,ROUND(AVERAGE(F14:H14,P14,X14,AF14,AN14),2),""))))),"")</f>
        <v>-0.09</v>
      </c>
      <c r="AU14" s="137" t="str">
        <f>IF(AT14&lt;&gt;"",IF(AT13&lt;-5%,"melhorar 0,10",IF(AT14&lt;-0.05,"melhorar 0,05","manter acima de -0,05")),"")</f>
        <v>melhorar 0,05</v>
      </c>
      <c r="AV14" s="137">
        <f>IF(AT14&lt;&gt;"",IF(AT13&lt;-5%,AT14+0.1,IF(AT14&lt;-0.05,AT14+0.05,-0.05)),"")</f>
        <v>-3.9999999999999994E-2</v>
      </c>
      <c r="AW14" s="137" t="str">
        <f t="shared" si="4"/>
        <v/>
      </c>
      <c r="AX14" s="138" t="str">
        <f>IF(COUNT($F14:L14)&gt;0,IF(AW14&lt;&gt;"",IF(AW14&gt;=AV14,1,0),""),"")</f>
        <v/>
      </c>
      <c r="AY14" s="288"/>
      <c r="AZ14" s="288"/>
      <c r="BA14" s="287"/>
    </row>
    <row r="15" spans="2:61" s="134" customFormat="1" ht="24" customHeight="1" x14ac:dyDescent="0.2">
      <c r="B15" s="305"/>
      <c r="C15" s="301"/>
      <c r="D15" s="301" t="s">
        <v>21</v>
      </c>
      <c r="E15" s="140" t="s">
        <v>8</v>
      </c>
      <c r="F15" s="130">
        <f>IF('Domínio 1'!L52&lt;&gt;"",'Domínio 1'!L52,"")</f>
        <v>-8.3409936345255398E-2</v>
      </c>
      <c r="G15" s="130">
        <f>IF('Domínio 1'!L53&lt;&gt;"",'Domínio 1'!L53,"")</f>
        <v>-3.7740273626400311E-2</v>
      </c>
      <c r="H15" s="130">
        <f>IF('Domínio 1'!L54&lt;&gt;"",'Domínio 1'!L54,"")</f>
        <v>-0.31329271270338066</v>
      </c>
      <c r="I15" s="130">
        <f>IF('Domínio 1'!L55&lt;&gt;"",'Domínio 1'!L55,"")</f>
        <v>-0.12844285714285714</v>
      </c>
      <c r="J15" s="130" t="str">
        <f>IF('Domínio 1'!L56&lt;&gt;"",'Domínio 1'!L56,"")</f>
        <v/>
      </c>
      <c r="K15" s="130" t="str">
        <f>IF('Domínio 1'!L57&lt;&gt;"",'Domínio 1'!L57,"")</f>
        <v/>
      </c>
      <c r="L15" s="130" t="str">
        <f>IF('Domínio 1'!L58&lt;&gt;"",'Domínio 1'!L58,"")</f>
        <v/>
      </c>
      <c r="M15" s="130" t="str">
        <f>IF('Domínio 1'!L59&lt;&gt;"",'Domínio 1'!L59,"")</f>
        <v/>
      </c>
      <c r="N15" s="131">
        <f>IF(COUNT(F15:H15)&gt;0,ROUND(AVERAGE(F15:H15),4),"")</f>
        <v>-0.14480000000000001</v>
      </c>
      <c r="O15" s="132" t="str">
        <f>IF(N15&lt;&gt;"",IF(N15&lt;-5%,"melhorar 5pp","manter acima de -5%"),"")</f>
        <v>melhorar 5pp</v>
      </c>
      <c r="P15" s="132">
        <f>IF(N15&lt;&gt;"",IF(N15&lt;-5%,N15+5%,-5%),"")</f>
        <v>-9.4800000000000009E-2</v>
      </c>
      <c r="Q15" s="132">
        <f t="shared" si="0"/>
        <v>-0.12844285714285714</v>
      </c>
      <c r="R15" s="138">
        <f>IF(COUNT($F15:H15)&gt;0,IF(Q15&lt;&gt;"",IF(Q15&gt;=P15,1,0),""),"")</f>
        <v>0</v>
      </c>
      <c r="S15" s="288">
        <f>IF(COUNT(R15:R16)=2,IF(AND(N15&lt;-5%,SUM(R15:R16)&gt;=1),1,IF(AND(N15&gt;=-5%,SUM(R15:R16)=2),1,0)),"")</f>
        <v>1</v>
      </c>
      <c r="T15" s="289">
        <f>IF(AND('Domínio 1'!I55&lt;&gt;"",S15&lt;&gt;""),'Domínio 1'!I55,"")</f>
        <v>35</v>
      </c>
      <c r="U15" s="287"/>
      <c r="V15" s="131">
        <f>IF(COUNT(F15:I15)&gt;0,IF(I15&lt;&gt;"",ROUND(AVERAGE(F15:I15),4),ROUND(AVERAGE(F15:H15,P15),4)),"")</f>
        <v>-0.14069999999999999</v>
      </c>
      <c r="W15" s="132" t="str">
        <f>IF(V15&lt;&gt;"",IF(V15&lt;-5%,"melhorar 5pp","manter acima de -5%"),"")</f>
        <v>melhorar 5pp</v>
      </c>
      <c r="X15" s="132">
        <f>IF(V15&lt;&gt;"",IF(V15&lt;-5%,V15+5%,-5%),"")</f>
        <v>-9.0699999999999989E-2</v>
      </c>
      <c r="Y15" s="132" t="str">
        <f t="shared" si="1"/>
        <v/>
      </c>
      <c r="Z15" s="138" t="str">
        <f>IF(COUNT($F15:I15)&gt;0,IF(Y15&lt;&gt;"",IF(Y15&gt;=X15,1,0),""),"")</f>
        <v/>
      </c>
      <c r="AA15" s="288" t="str">
        <f>IF(COUNT(Z15:Z16)=2,IF(AND(V15&lt;-5%,SUM(Z15:Z16)&gt;=1),1,IF(AND(V15&gt;=-5%,SUM(Z15:Z16)=2),1,0)),"")</f>
        <v/>
      </c>
      <c r="AB15" s="289" t="str">
        <f>IF(AND('Domínio 1'!I56&lt;&gt;"",AA15&lt;&gt;""),'Domínio 1'!I56,"")</f>
        <v/>
      </c>
      <c r="AC15" s="287"/>
      <c r="AD15" s="131">
        <f>IF(COUNT(F15:J15)&gt;0,IF(J15&lt;&gt;"",ROUND(AVERAGE(F15:J15),4),IF(I15&lt;&gt;"",ROUND(AVERAGE(F15:I15,X15),4),IF(COUNT(F15:H15)&gt;0,ROUND(AVERAGE(F15:H15,P15,X15),4),""))),"")</f>
        <v>-0.13070000000000001</v>
      </c>
      <c r="AE15" s="132" t="str">
        <f>IF(AD15&lt;&gt;"",IF(AD15&lt;-5%,"melhorar 5pp","manter acima de -5%"),"")</f>
        <v>melhorar 5pp</v>
      </c>
      <c r="AF15" s="132">
        <f>IF(AD15&lt;&gt;"",IF(AD15&lt;-5%,AD15+5%,-5%),"")</f>
        <v>-8.0700000000000008E-2</v>
      </c>
      <c r="AG15" s="132" t="str">
        <f t="shared" si="2"/>
        <v/>
      </c>
      <c r="AH15" s="138" t="str">
        <f>IF(COUNT($F15:J15)&gt;0,IF(AG15&lt;&gt;"",IF(AG15&gt;=AF15,1,0),""),"")</f>
        <v/>
      </c>
      <c r="AI15" s="288" t="str">
        <f>IF(COUNT(AH15:AH16)=2,IF(AND(AD15&lt;-5%,SUM(AH15:AH16)&gt;=1),1,IF(AND(AD15&gt;=-5%,SUM(AH15:AH16)=2),1,0)),"")</f>
        <v/>
      </c>
      <c r="AJ15" s="289" t="str">
        <f>IF(AND('Domínio 1'!I57&lt;&gt;"",AI15&lt;&gt;""),'Domínio 1'!I57,"")</f>
        <v/>
      </c>
      <c r="AK15" s="287"/>
      <c r="AL15" s="131">
        <f>IF(COUNT(F15:K15)&gt;0,IF(K15&lt;&gt;"",ROUND(AVERAGE(F15:K15),4),IF(J15&lt;&gt;"",ROUND(AVERAGE(F15:J15,AF15),4),IF(I15&lt;&gt;"",ROUND(AVERAGE(F15:I15,X15,AF15),4),IF(COUNT(F15:H15)&gt;0,ROUND(AVERAGE(F15:H15,P15,X15,AF15),4),"")))),"")</f>
        <v>-0.12239999999999999</v>
      </c>
      <c r="AM15" s="132" t="str">
        <f>IF(AL15&lt;&gt;"",IF(AL15&lt;-5%,"melhorar 5pp","manter acima de -5%"),"")</f>
        <v>melhorar 5pp</v>
      </c>
      <c r="AN15" s="132">
        <f>IF(AL15&lt;&gt;"",IF(AL15&lt;-5%,AL15+5%,-5%),"")</f>
        <v>-7.2399999999999992E-2</v>
      </c>
      <c r="AO15" s="132" t="str">
        <f t="shared" si="3"/>
        <v/>
      </c>
      <c r="AP15" s="138" t="str">
        <f>IF(COUNT($F15:K15)&gt;0,IF(AO15&lt;&gt;"",IF(AO15&gt;=AN15,1,0),""),"")</f>
        <v/>
      </c>
      <c r="AQ15" s="288" t="str">
        <f>IF(COUNT(AP15:AP16)=2,IF(AND(AL15&lt;-5%,SUM(AP15:AP16)&gt;=1),1,IF(AND(AL15&gt;=-5%,SUM(AP15:AP16)=2),1,0)),"")</f>
        <v/>
      </c>
      <c r="AR15" s="289" t="str">
        <f>IF(AND('Domínio 1'!I58&lt;&gt;"",AQ15&lt;&gt;""),'Domínio 1'!I58,"")</f>
        <v/>
      </c>
      <c r="AS15" s="287"/>
      <c r="AT15" s="131">
        <f>IF(COUNT(F15:L15)&gt;0,IF(L15&lt;&gt;"",ROUND(AVERAGE(F15:L15),4),IF(K15&lt;&gt;"",ROUND(AVERAGE(F15:K15,AN15),4),IF(J15&lt;&gt;"",ROUND(AVERAGE(F15:J15,AF15,AN15),4),IF(I15&lt;&gt;"",ROUND(AVERAGE(F15:I15,X15,AF15,AN15),4),IF(COUNT(F15:H15)&gt;0,ROUND(AVERAGE(F15:H15,P15,X15,AF15,AN15),4),""))))),"")</f>
        <v>-0.1152</v>
      </c>
      <c r="AU15" s="132" t="str">
        <f>IF(AT15&lt;&gt;"",IF(AT15&lt;-5%,"melhorar 5pp","manter acima de -5%"),"")</f>
        <v>melhorar 5pp</v>
      </c>
      <c r="AV15" s="132">
        <f>IF(AT15&lt;&gt;"",IF(AT15&lt;-5%,AT15+5%,-5%),"")</f>
        <v>-6.5199999999999994E-2</v>
      </c>
      <c r="AW15" s="132" t="str">
        <f t="shared" si="4"/>
        <v/>
      </c>
      <c r="AX15" s="138" t="str">
        <f>IF(COUNT($F15:L15)&gt;0,IF(AW15&lt;&gt;"",IF(AW15&gt;=AV15,1,0),""),"")</f>
        <v/>
      </c>
      <c r="AY15" s="288" t="str">
        <f>IF(COUNT(AX15:AX16)=2,IF(AND(AT15&lt;-5%,SUM(AX15:AX16)&gt;=1),1,IF(AND(AT15&gt;=-5%,SUM(AX15:AX16)=2),1,0)),"")</f>
        <v/>
      </c>
      <c r="AZ15" s="289" t="str">
        <f>IF(AND('Domínio 1'!I59&lt;&gt;"",AY15&lt;&gt;""),'Domínio 1'!I59,"")</f>
        <v/>
      </c>
      <c r="BA15" s="287"/>
    </row>
    <row r="16" spans="2:61" s="134" customFormat="1" ht="24" customHeight="1" x14ac:dyDescent="0.2">
      <c r="B16" s="305"/>
      <c r="C16" s="301"/>
      <c r="D16" s="301"/>
      <c r="E16" s="140" t="s">
        <v>1</v>
      </c>
      <c r="F16" s="136">
        <f>IF('Domínio 1'!O52&lt;&gt;"",'Domínio 1'!O52,"")</f>
        <v>-0.20957431086113676</v>
      </c>
      <c r="G16" s="136">
        <f>IF('Domínio 1'!O53&lt;&gt;"",'Domínio 1'!O53,"")</f>
        <v>-3.3063595052368111E-2</v>
      </c>
      <c r="H16" s="136">
        <f>IF('Domínio 1'!O54&lt;&gt;"",'Domínio 1'!O54,"")</f>
        <v>-0.6091074559943177</v>
      </c>
      <c r="I16" s="136">
        <f>IF('Domínio 1'!O55&lt;&gt;"",'Domínio 1'!O55,"")</f>
        <v>-0.15285714285714258</v>
      </c>
      <c r="J16" s="136" t="str">
        <f>IF('Domínio 1'!O56&lt;&gt;"",'Domínio 1'!O56,"")</f>
        <v/>
      </c>
      <c r="K16" s="136" t="str">
        <f>IF('Domínio 1'!O57&lt;&gt;"",'Domínio 1'!O57,"")</f>
        <v/>
      </c>
      <c r="L16" s="136" t="str">
        <f>IF('Domínio 1'!O58&lt;&gt;"",'Domínio 1'!O58,"")</f>
        <v/>
      </c>
      <c r="M16" s="136" t="str">
        <f>IF('Domínio 1'!O59&lt;&gt;"",'Domínio 1'!O59,"")</f>
        <v/>
      </c>
      <c r="N16" s="137">
        <f>IF(COUNT(F16:H16)&gt;0,ROUND(AVERAGE(F16:H16),2),"")</f>
        <v>-0.28000000000000003</v>
      </c>
      <c r="O16" s="137" t="str">
        <f>IF(N16&lt;&gt;"",IF(N15&lt;-5%,"melhorar 0,10",IF(N16&lt;-0.05,"melhorar 0,05","manter acima de -0,05")),"")</f>
        <v>melhorar 0,10</v>
      </c>
      <c r="P16" s="137">
        <f>IF(N16&lt;&gt;"",IF(N15&lt;-5%,N16+0.1,IF(N16&lt;-0.05,N16+0.05,-0.05)),"")</f>
        <v>-0.18000000000000002</v>
      </c>
      <c r="Q16" s="137">
        <f t="shared" si="0"/>
        <v>-0.15285714285714258</v>
      </c>
      <c r="R16" s="138">
        <f>IF(COUNT($F16:H16)&gt;0,IF(Q16&lt;&gt;"",IF(Q16&gt;=P16,1,0),""),"")</f>
        <v>1</v>
      </c>
      <c r="S16" s="288"/>
      <c r="T16" s="288"/>
      <c r="U16" s="287"/>
      <c r="V16" s="137">
        <f>IF(COUNT(F16:I16)&gt;0,IF(I16&lt;&gt;"",ROUND(AVERAGE(F16:I16),2),ROUND(AVERAGE(F16:H16,P16),2)),"")</f>
        <v>-0.25</v>
      </c>
      <c r="W16" s="137" t="str">
        <f>IF(V16&lt;&gt;"",IF(V15&lt;-5%,"melhorar 0,10",IF(V16&lt;-0.05,"melhorar 0,05","manter acima de -0,05")),"")</f>
        <v>melhorar 0,10</v>
      </c>
      <c r="X16" s="137">
        <f>IF(V16&lt;&gt;"",IF(V15&lt;-5%,V16+0.1,IF(V16&lt;-0.05,V16+0.05,-0.05)),"")</f>
        <v>-0.15</v>
      </c>
      <c r="Y16" s="137" t="str">
        <f t="shared" si="1"/>
        <v/>
      </c>
      <c r="Z16" s="138" t="str">
        <f>IF(COUNT($F16:I16)&gt;0,IF(Y16&lt;&gt;"",IF(Y16&gt;=X16,1,0),""),"")</f>
        <v/>
      </c>
      <c r="AA16" s="288"/>
      <c r="AB16" s="288"/>
      <c r="AC16" s="287"/>
      <c r="AD16" s="137">
        <f>IF(COUNT(F16:J16)&gt;0,IF(J16&lt;&gt;"",ROUND(AVERAGE(F16:J16),2),IF(I16&lt;&gt;"",ROUND(AVERAGE(F16:I16,X16),2),IF(COUNT(F16:H16)&gt;0,ROUND(AVERAGE(F16:H16,P16,X16),2),""))),"")</f>
        <v>-0.23</v>
      </c>
      <c r="AE16" s="137" t="str">
        <f>IF(AD16&lt;&gt;"",IF(AD15&lt;-5%,"melhorar 0,10",IF(AD16&lt;-0.05,"melhorar 0,05","manter acima de -0,05")),"")</f>
        <v>melhorar 0,10</v>
      </c>
      <c r="AF16" s="137">
        <f>IF(AD16&lt;&gt;"",IF(AD15&lt;-5%,AD16+0.1,IF(AD16&lt;-0.05,AD16+0.05,-0.05)),"")</f>
        <v>-0.13</v>
      </c>
      <c r="AG16" s="137" t="str">
        <f t="shared" si="2"/>
        <v/>
      </c>
      <c r="AH16" s="138" t="str">
        <f>IF(COUNT($F16:J16)&gt;0,IF(AG16&lt;&gt;"",IF(AG16&gt;=AF16,1,0),""),"")</f>
        <v/>
      </c>
      <c r="AI16" s="288"/>
      <c r="AJ16" s="288"/>
      <c r="AK16" s="287"/>
      <c r="AL16" s="137">
        <f>IF(COUNT(F16:K16)&gt;0,IF(K16&lt;&gt;"",ROUND(AVERAGE(F16:K16),2),IF(J16&lt;&gt;"",ROUND(AVERAGE(F16:J16,AF16),2),IF(I16&lt;&gt;"",ROUND(AVERAGE(F16:I16,X16,AF16),2),IF(COUNT(F16:H16)&gt;0,ROUND(AVERAGE(F16:H16,P16,X16,AF16),2),"")))),"")</f>
        <v>-0.21</v>
      </c>
      <c r="AM16" s="137" t="str">
        <f>IF(AL16&lt;&gt;"",IF(AL15&lt;-5%,"melhorar 0,10",IF(AL16&lt;-0.05,"melhorar 0,05","manter acima de -0,05")),"")</f>
        <v>melhorar 0,10</v>
      </c>
      <c r="AN16" s="137">
        <f>IF(AL16&lt;&gt;"",IF(AL15&lt;-5%,AL16+0.1,IF(AL16&lt;-0.05,AL16+0.05,-0.05)),"")</f>
        <v>-0.10999999999999999</v>
      </c>
      <c r="AO16" s="137" t="str">
        <f t="shared" si="3"/>
        <v/>
      </c>
      <c r="AP16" s="138" t="str">
        <f>IF(COUNT($F16:K16)&gt;0,IF(AO16&lt;&gt;"",IF(AO16&gt;=AN16,1,0),""),"")</f>
        <v/>
      </c>
      <c r="AQ16" s="288"/>
      <c r="AR16" s="288"/>
      <c r="AS16" s="287"/>
      <c r="AT16" s="137">
        <f>IF(COUNT(F16:L16)&gt;0,IF(L16&lt;&gt;"",ROUND(AVERAGE(F16:L16),2),IF(K16&lt;&gt;"",ROUND(AVERAGE(F16:K16,AN16),2),IF(J16&lt;&gt;"",ROUND(AVERAGE(F16:J16,AF16,AN16),2),IF(I16&lt;&gt;"",ROUND(AVERAGE(F16:I16,X16,AF16,AN16),2),IF(COUNT(F16:H16)&gt;0,ROUND(AVERAGE(F16:H16,P16,X16,AF16,AN16),2),""))))),"")</f>
        <v>-0.2</v>
      </c>
      <c r="AU16" s="137" t="str">
        <f>IF(AT16&lt;&gt;"",IF(AT15&lt;-5%,"melhorar 0,10",IF(AT16&lt;-0.05,"melhorar 0,05","manter acima de -0,05")),"")</f>
        <v>melhorar 0,10</v>
      </c>
      <c r="AV16" s="137">
        <f>IF(AT16&lt;&gt;"",IF(AT15&lt;-5%,AT16+0.1,IF(AT16&lt;-0.05,AT16+0.05,-0.05)),"")</f>
        <v>-0.1</v>
      </c>
      <c r="AW16" s="137" t="str">
        <f t="shared" si="4"/>
        <v/>
      </c>
      <c r="AX16" s="138" t="str">
        <f>IF(COUNT($F16:L16)&gt;0,IF(AW16&lt;&gt;"",IF(AW16&gt;=AV16,1,0),""),"")</f>
        <v/>
      </c>
      <c r="AY16" s="288"/>
      <c r="AZ16" s="288"/>
      <c r="BA16" s="287"/>
    </row>
    <row r="17" spans="2:53" s="134" customFormat="1" ht="24" customHeight="1" x14ac:dyDescent="0.2">
      <c r="B17" s="305"/>
      <c r="C17" s="301" t="s">
        <v>19</v>
      </c>
      <c r="D17" s="301" t="s">
        <v>22</v>
      </c>
      <c r="E17" s="140" t="s">
        <v>8</v>
      </c>
      <c r="F17" s="130" t="str">
        <f>IF('Domínio 1'!I65&lt;&gt;"",'Domínio 1'!I65,"")</f>
        <v/>
      </c>
      <c r="G17" s="130" t="str">
        <f>IF('Domínio 1'!I66&lt;&gt;"",'Domínio 1'!I66,"")</f>
        <v/>
      </c>
      <c r="H17" s="130" t="str">
        <f>IF('Domínio 1'!I67&lt;&gt;"",'Domínio 1'!I67,"")</f>
        <v/>
      </c>
      <c r="I17" s="130" t="str">
        <f>IF('Domínio 1'!I68&lt;&gt;"",'Domínio 1'!I68,"")</f>
        <v/>
      </c>
      <c r="J17" s="130" t="str">
        <f>IF('Domínio 1'!I69&lt;&gt;"",'Domínio 1'!I69,"")</f>
        <v/>
      </c>
      <c r="K17" s="130" t="str">
        <f>IF('Domínio 1'!I70&lt;&gt;"",'Domínio 1'!I70,"")</f>
        <v/>
      </c>
      <c r="L17" s="130" t="str">
        <f>IF('Domínio 1'!I71&lt;&gt;"",'Domínio 1'!I71,"")</f>
        <v/>
      </c>
      <c r="M17" s="130" t="str">
        <f>IF('Domínio 1'!I72&lt;&gt;"",'Domínio 1'!I72,"")</f>
        <v/>
      </c>
      <c r="N17" s="131" t="str">
        <f>IF(COUNT(F17:H17)&gt;0,ROUND(AVERAGE(F17:H17),4),"")</f>
        <v/>
      </c>
      <c r="O17" s="132" t="str">
        <f>IF(N17&lt;&gt;"",IF(N17&lt;-5%,"melhorar 5pp","manter acima de -5%"),"")</f>
        <v/>
      </c>
      <c r="P17" s="132" t="str">
        <f>IF(N17&lt;&gt;"",IF(N17&lt;-5%,N17+5%,-5%),"")</f>
        <v/>
      </c>
      <c r="Q17" s="132" t="str">
        <f t="shared" si="0"/>
        <v/>
      </c>
      <c r="R17" s="138" t="str">
        <f>IF(COUNT($F17:H17)&gt;0,IF(Q17&lt;&gt;"",IF(Q17&gt;=P17,1,0),""),"")</f>
        <v/>
      </c>
      <c r="S17" s="288" t="str">
        <f>IF(COUNT(R17:R18)=2,IF(AND(N17&lt;-5%,SUM(R17:R18)&gt;=1),1,IF(AND(N17&gt;=-5%,SUM(R17:R18)=2),1,0)),"")</f>
        <v/>
      </c>
      <c r="T17" s="289" t="str">
        <f>IF(AND('Domínio 1'!F68&lt;&gt;"",S17&lt;&gt;""),'Domínio 1'!F68,"")</f>
        <v/>
      </c>
      <c r="U17" s="287"/>
      <c r="V17" s="131" t="str">
        <f>IF(COUNT(F17:I17)&gt;0,IF(I17&lt;&gt;"",ROUND(AVERAGE(F17:I17),4),ROUND(AVERAGE(F17:H17,P17),4)),"")</f>
        <v/>
      </c>
      <c r="W17" s="132" t="str">
        <f>IF(V17&lt;&gt;"",IF(V17&lt;-5%,"melhorar 5pp","manter acima de -5%"),"")</f>
        <v/>
      </c>
      <c r="X17" s="132" t="str">
        <f>IF(V17&lt;&gt;"",IF(V17&lt;-5%,V17+5%,-5%),"")</f>
        <v/>
      </c>
      <c r="Y17" s="132" t="str">
        <f t="shared" si="1"/>
        <v/>
      </c>
      <c r="Z17" s="138" t="str">
        <f>IF(COUNT($F17:I17)&gt;0,IF(Y17&lt;&gt;"",IF(Y17&gt;=X17,1,0),""),"")</f>
        <v/>
      </c>
      <c r="AA17" s="288" t="str">
        <f>IF(COUNT(Z17:Z18)=2,IF(AND(V17&lt;-5%,SUM(Z17:Z18)&gt;=1),1,IF(AND(V17&gt;=-5%,SUM(Z17:Z18)=2),1,0)),"")</f>
        <v/>
      </c>
      <c r="AB17" s="289" t="str">
        <f>IF(AND('Domínio 1'!F69&lt;&gt;"",AA17&lt;&gt;""),'Domínio 1'!F69,"")</f>
        <v/>
      </c>
      <c r="AC17" s="287"/>
      <c r="AD17" s="131" t="str">
        <f>IF(COUNT(F17:J17)&gt;0,IF(J17&lt;&gt;"",ROUND(AVERAGE(F17:J17),4),IF(I17&lt;&gt;"",ROUND(AVERAGE(F17:I17,X17),4),IF(COUNT(F17:H17)&gt;0,ROUND(AVERAGE(F17:H17,P17,X17),4),""))),"")</f>
        <v/>
      </c>
      <c r="AE17" s="132" t="str">
        <f>IF(AD17&lt;&gt;"",IF(AD17&lt;-5%,"melhorar 5pp","manter acima de -5%"),"")</f>
        <v/>
      </c>
      <c r="AF17" s="132" t="str">
        <f>IF(AD17&lt;&gt;"",IF(AD17&lt;-5%,AD17+5%,-5%),"")</f>
        <v/>
      </c>
      <c r="AG17" s="132" t="str">
        <f t="shared" si="2"/>
        <v/>
      </c>
      <c r="AH17" s="138" t="str">
        <f>IF(COUNT($F17:J17)&gt;0,IF(AG17&lt;&gt;"",IF(AG17&gt;=AF17,1,0),""),"")</f>
        <v/>
      </c>
      <c r="AI17" s="288" t="str">
        <f>IF(COUNT(AH17:AH18)=2,IF(AND(AD17&lt;-5%,SUM(AH17:AH18)&gt;=1),1,IF(AND(AD17&gt;=-5%,SUM(AH17:AH18)=2),1,0)),"")</f>
        <v/>
      </c>
      <c r="AJ17" s="289" t="str">
        <f>IF(AND('Domínio 1'!F70&lt;&gt;"",AI17&lt;&gt;""),'Domínio 1'!F70,"")</f>
        <v/>
      </c>
      <c r="AK17" s="287"/>
      <c r="AL17" s="131" t="str">
        <f>IF(COUNT(F17:K17)&gt;0,IF(K17&lt;&gt;"",ROUND(AVERAGE(F17:K17),4),IF(J17&lt;&gt;"",ROUND(AVERAGE(F17:J17,AF17),4),IF(I17&lt;&gt;"",ROUND(AVERAGE(F17:I17,X17,AF17),4),IF(COUNT(F17:H17)&gt;0,ROUND(AVERAGE(F17:H17,P17,X17,AF17),4),"")))),"")</f>
        <v/>
      </c>
      <c r="AM17" s="132" t="str">
        <f>IF(AL17&lt;&gt;"",IF(AL17&lt;-5%,"melhorar 5pp","manter acima de -5%"),"")</f>
        <v/>
      </c>
      <c r="AN17" s="132" t="str">
        <f>IF(AL17&lt;&gt;"",IF(AL17&lt;-5%,AL17+5%,-5%),"")</f>
        <v/>
      </c>
      <c r="AO17" s="132" t="str">
        <f t="shared" si="3"/>
        <v/>
      </c>
      <c r="AP17" s="138" t="str">
        <f>IF(COUNT($F17:K17)&gt;0,IF(AO17&lt;&gt;"",IF(AO17&gt;=AN17,1,0),""),"")</f>
        <v/>
      </c>
      <c r="AQ17" s="288" t="str">
        <f>IF(COUNT(AP17:AP18)=2,IF(AND(AL17&lt;-5%,SUM(AP17:AP18)&gt;=1),1,IF(AND(AL17&gt;=-5%,SUM(AP17:AP18)=2),1,0)),"")</f>
        <v/>
      </c>
      <c r="AR17" s="289" t="str">
        <f>IF(AND('Domínio 1'!F71&lt;&gt;"",AQ17&lt;&gt;""),'Domínio 1'!F71,"")</f>
        <v/>
      </c>
      <c r="AS17" s="287"/>
      <c r="AT17" s="131" t="str">
        <f>IF(COUNT(F17:L17)&gt;0,IF(L17&lt;&gt;"",ROUND(AVERAGE(F17:L17),4),IF(K17&lt;&gt;"",ROUND(AVERAGE(F17:K17,AN17),4),IF(J17&lt;&gt;"",ROUND(AVERAGE(F17:J17,AF17,AN17),4),IF(I17&lt;&gt;"",ROUND(AVERAGE(F17:I17,X17,AF17,AN17),4),IF(COUNT(F17:H17)&gt;0,ROUND(AVERAGE(F17:H17,P17,X17,AF17,AN17),4),""))))),"")</f>
        <v/>
      </c>
      <c r="AU17" s="132" t="str">
        <f>IF(AT17&lt;&gt;"",IF(AT17&lt;-5%,"melhorar 5pp","manter acima de -5%"),"")</f>
        <v/>
      </c>
      <c r="AV17" s="132" t="str">
        <f>IF(AT17&lt;&gt;"",IF(AT17&lt;-5%,AT17+5%,-5%),"")</f>
        <v/>
      </c>
      <c r="AW17" s="132" t="str">
        <f t="shared" si="4"/>
        <v/>
      </c>
      <c r="AX17" s="138" t="str">
        <f>IF(COUNT($F17:L17)&gt;0,IF(AW17&lt;&gt;"",IF(AW17&gt;=AV17,1,0),""),"")</f>
        <v/>
      </c>
      <c r="AY17" s="288" t="str">
        <f>IF(COUNT(AX17:AX18)=2,IF(AND(AT17&lt;-5%,SUM(AX17:AX18)&gt;=1),1,IF(AND(AT17&gt;=-5%,SUM(AX17:AX18)=2),1,0)),"")</f>
        <v/>
      </c>
      <c r="AZ17" s="289" t="str">
        <f>IF(AND('Domínio 1'!F72&lt;&gt;"",AY17&lt;&gt;""),'Domínio 1'!F72,"")</f>
        <v/>
      </c>
      <c r="BA17" s="287"/>
    </row>
    <row r="18" spans="2:53" s="134" customFormat="1" ht="24" customHeight="1" x14ac:dyDescent="0.2">
      <c r="B18" s="305"/>
      <c r="C18" s="301"/>
      <c r="D18" s="301"/>
      <c r="E18" s="140" t="s">
        <v>1</v>
      </c>
      <c r="F18" s="136" t="str">
        <f>IF('Domínio 1'!L65&lt;&gt;"",'Domínio 1'!L65,"")</f>
        <v/>
      </c>
      <c r="G18" s="136" t="str">
        <f>IF('Domínio 1'!L66&lt;&gt;"",'Domínio 1'!L66,"")</f>
        <v/>
      </c>
      <c r="H18" s="136" t="str">
        <f>IF('Domínio 1'!L67&lt;&gt;"",'Domínio 1'!L67,"")</f>
        <v/>
      </c>
      <c r="I18" s="136" t="str">
        <f>IF('Domínio 1'!L68&lt;&gt;"",'Domínio 1'!L68,"")</f>
        <v/>
      </c>
      <c r="J18" s="136" t="str">
        <f>IF('Domínio 1'!L69&lt;&gt;"",'Domínio 1'!L69,"")</f>
        <v/>
      </c>
      <c r="K18" s="136" t="str">
        <f>IF('Domínio 1'!L70&lt;&gt;"",'Domínio 1'!L70,"")</f>
        <v/>
      </c>
      <c r="L18" s="136" t="str">
        <f>IF('Domínio 1'!L71&lt;&gt;"",'Domínio 1'!L71,"")</f>
        <v/>
      </c>
      <c r="M18" s="136" t="str">
        <f>IF('Domínio 1'!L72&lt;&gt;"",'Domínio 1'!L72,"")</f>
        <v/>
      </c>
      <c r="N18" s="137" t="str">
        <f>IF(COUNT(F18:H18)&gt;0,ROUND(AVERAGE(F18:H18),2),"")</f>
        <v/>
      </c>
      <c r="O18" s="137" t="str">
        <f>IF(N18&lt;&gt;"",IF(N17&lt;-5%,"melhorar 0,5",IF(N18&lt;-0.25,"melhorar 0,25","manter acima de -0,25")),"")</f>
        <v/>
      </c>
      <c r="P18" s="137" t="str">
        <f>IF(N18&lt;&gt;"",IF(N17&lt;-5%,N18+0.5,IF(N18&lt;-0.25,N18+0.25,-0.25)),"")</f>
        <v/>
      </c>
      <c r="Q18" s="137" t="str">
        <f t="shared" si="0"/>
        <v/>
      </c>
      <c r="R18" s="138" t="str">
        <f>IF(COUNT($F18:H18)&gt;0,IF(Q18&lt;&gt;"",IF(Q18&gt;=P18,1,0),""),"")</f>
        <v/>
      </c>
      <c r="S18" s="288"/>
      <c r="T18" s="288"/>
      <c r="U18" s="287"/>
      <c r="V18" s="137" t="str">
        <f>IF(COUNT(F18:I18)&gt;0,IF(I18&lt;&gt;"",ROUND(AVERAGE(F18:I18),2),ROUND(AVERAGE(F18:H18,P18),2)),"")</f>
        <v/>
      </c>
      <c r="W18" s="137" t="str">
        <f>IF(V18&lt;&gt;"",IF(V17&lt;-5%,"melhorar 0,5",IF(V18&lt;-0.25,"melhorar 0,25","manter acima de -0,25")),"")</f>
        <v/>
      </c>
      <c r="X18" s="137" t="str">
        <f>IF(V18&lt;&gt;"",IF(V17&lt;-5%,V18+0.5,IF(V18&lt;-0.25,V18+0.25,-0.25)),"")</f>
        <v/>
      </c>
      <c r="Y18" s="137" t="str">
        <f t="shared" si="1"/>
        <v/>
      </c>
      <c r="Z18" s="138" t="str">
        <f>IF(COUNT($F18:I18)&gt;0,IF(Y18&lt;&gt;"",IF(Y18&gt;=X18,1,0),""),"")</f>
        <v/>
      </c>
      <c r="AA18" s="288"/>
      <c r="AB18" s="288"/>
      <c r="AC18" s="287"/>
      <c r="AD18" s="137" t="str">
        <f>IF(COUNT(F18:J18)&gt;0,IF(J18&lt;&gt;"",ROUND(AVERAGE(F18:J18),2),IF(I18&lt;&gt;"",ROUND(AVERAGE(F18:I18,X18),2),IF(COUNT(F18:H18)&gt;0,ROUND(AVERAGE(F18:H18,P18,X18),2),""))),"")</f>
        <v/>
      </c>
      <c r="AE18" s="137" t="str">
        <f>IF(AD18&lt;&gt;"",IF(AD17&lt;-5%,"melhorar 0,5",IF(AD18&lt;-0.25,"melhorar 0,25","manter acima de -0,25")),"")</f>
        <v/>
      </c>
      <c r="AF18" s="137" t="str">
        <f>IF(AD18&lt;&gt;"",IF(AD17&lt;-5%,AD18+0.5,IF(AD18&lt;-0.25,AD18+0.25,-0.25)),"")</f>
        <v/>
      </c>
      <c r="AG18" s="137" t="str">
        <f t="shared" si="2"/>
        <v/>
      </c>
      <c r="AH18" s="138" t="str">
        <f>IF(COUNT($F18:J18)&gt;0,IF(AG18&lt;&gt;"",IF(AG18&gt;=AF18,1,0),""),"")</f>
        <v/>
      </c>
      <c r="AI18" s="288"/>
      <c r="AJ18" s="288"/>
      <c r="AK18" s="287"/>
      <c r="AL18" s="137" t="str">
        <f>IF(COUNT(F18:K18)&gt;0,IF(K18&lt;&gt;"",ROUND(AVERAGE(F18:K18),2),IF(J18&lt;&gt;"",ROUND(AVERAGE(F18:J18,AF18),2),IF(I18&lt;&gt;"",ROUND(AVERAGE(F18:I18,X18,AF18),2),IF(COUNT(F18:H18)&gt;0,ROUND(AVERAGE(F18:H18,P18,X18,AF18),2),"")))),"")</f>
        <v/>
      </c>
      <c r="AM18" s="137" t="str">
        <f>IF(AL18&lt;&gt;"",IF(AL17&lt;-5%,"melhorar 0,5",IF(AL18&lt;-0.25,"melhorar 0,25","manter acima de -0,25")),"")</f>
        <v/>
      </c>
      <c r="AN18" s="137" t="str">
        <f>IF(AL18&lt;&gt;"",IF(AL17&lt;-5%,AL18+0.5,IF(AL18&lt;-0.25,AL18+0.25,-0.25)),"")</f>
        <v/>
      </c>
      <c r="AO18" s="137" t="str">
        <f t="shared" si="3"/>
        <v/>
      </c>
      <c r="AP18" s="138" t="str">
        <f>IF(COUNT($F18:K18)&gt;0,IF(AO18&lt;&gt;"",IF(AO18&gt;=AN18,1,0),""),"")</f>
        <v/>
      </c>
      <c r="AQ18" s="288"/>
      <c r="AR18" s="288"/>
      <c r="AS18" s="287"/>
      <c r="AT18" s="137" t="str">
        <f>IF(COUNT(F18:L18)&gt;0,IF(L18&lt;&gt;"",ROUND(AVERAGE(F18:L18),2),IF(K18&lt;&gt;"",ROUND(AVERAGE(F18:K18,AN18),2),IF(J18&lt;&gt;"",ROUND(AVERAGE(F18:J18,AF18,AN18),2),IF(I18&lt;&gt;"",ROUND(AVERAGE(F18:I18,X18,AF18,AN18),2),IF(COUNT(F18:H18)&gt;0,ROUND(AVERAGE(F18:H18,P18,X18,AF18,AN18),2),""))))),"")</f>
        <v/>
      </c>
      <c r="AU18" s="137" t="str">
        <f>IF(AT18&lt;&gt;"",IF(AT17&lt;-5%,"melhorar 0,5",IF(AT18&lt;-0.25,"melhorar 0,25","manter acima de -0,25")),"")</f>
        <v/>
      </c>
      <c r="AV18" s="137" t="str">
        <f>IF(AT18&lt;&gt;"",IF(AT17&lt;-5%,AT18+0.5,IF(AT18&lt;-0.25,AT18+0.25,-0.25)),"")</f>
        <v/>
      </c>
      <c r="AW18" s="137" t="str">
        <f t="shared" si="4"/>
        <v/>
      </c>
      <c r="AX18" s="138" t="str">
        <f>IF(COUNT($F18:L18)&gt;0,IF(AW18&lt;&gt;"",IF(AW18&gt;=AV18,1,0),""),"")</f>
        <v/>
      </c>
      <c r="AY18" s="288"/>
      <c r="AZ18" s="288"/>
      <c r="BA18" s="287"/>
    </row>
    <row r="19" spans="2:53" s="134" customFormat="1" ht="24" customHeight="1" x14ac:dyDescent="0.2">
      <c r="B19" s="305"/>
      <c r="C19" s="301"/>
      <c r="D19" s="299" t="str">
        <f>"Prova 4 - "&amp;IF('Domínio 1'!K73&lt;&gt;"",'Domínio 1'!K73,"")</f>
        <v xml:space="preserve">Prova 4 - </v>
      </c>
      <c r="E19" s="140" t="s">
        <v>8</v>
      </c>
      <c r="F19" s="130" t="str">
        <f>IF('Domínio 1'!I74&lt;&gt;"",'Domínio 1'!I74,"")</f>
        <v/>
      </c>
      <c r="G19" s="130" t="str">
        <f>IF('Domínio 1'!I75&lt;&gt;"",'Domínio 1'!I75,"")</f>
        <v/>
      </c>
      <c r="H19" s="130" t="str">
        <f>IF('Domínio 1'!I76&lt;&gt;"",'Domínio 1'!I76,"")</f>
        <v/>
      </c>
      <c r="I19" s="130" t="str">
        <f>IF('Domínio 1'!I77&lt;&gt;"",'Domínio 1'!I77,"")</f>
        <v/>
      </c>
      <c r="J19" s="130" t="str">
        <f>IF('Domínio 1'!I78&lt;&gt;"",'Domínio 1'!I78,"")</f>
        <v/>
      </c>
      <c r="K19" s="130" t="str">
        <f>IF('Domínio 1'!I79&lt;&gt;"",'Domínio 1'!I79,"")</f>
        <v/>
      </c>
      <c r="L19" s="130" t="str">
        <f>IF('Domínio 1'!I80&lt;&gt;"",'Domínio 1'!I80,"")</f>
        <v/>
      </c>
      <c r="M19" s="130" t="str">
        <f>IF('Domínio 1'!I81&lt;&gt;"",'Domínio 1'!I81,"")</f>
        <v/>
      </c>
      <c r="N19" s="131" t="str">
        <f>IF(COUNT(F19:H19)&gt;0,ROUND(AVERAGE(F19:H19),4),"")</f>
        <v/>
      </c>
      <c r="O19" s="132" t="str">
        <f>IF(N19&lt;&gt;"",IF(N19&lt;-5%,"melhorar 5pp","manter acima de -5%"),"")</f>
        <v/>
      </c>
      <c r="P19" s="132" t="str">
        <f>IF(N19&lt;&gt;"",IF(N19&lt;-5%,N19+5%,-5%),"")</f>
        <v/>
      </c>
      <c r="Q19" s="132" t="str">
        <f t="shared" si="0"/>
        <v/>
      </c>
      <c r="R19" s="138" t="str">
        <f>IF(COUNT($F19:H19)&gt;0,IF(Q19&lt;&gt;"",IF(Q19&gt;=P19,1,0),""),"")</f>
        <v/>
      </c>
      <c r="S19" s="288" t="str">
        <f>IF(COUNT(R19:R20)=2,IF(AND(N19&lt;-5%,SUM(R19:R20)&gt;=1),1,IF(AND(N19&gt;=-5%,SUM(R19:R20)=2),1,0)),"")</f>
        <v/>
      </c>
      <c r="T19" s="289" t="str">
        <f>IF(AND('Domínio 1'!F77&lt;&gt;"",S19&lt;&gt;""),'Domínio 1'!F77,"")</f>
        <v/>
      </c>
      <c r="U19" s="287"/>
      <c r="V19" s="131" t="str">
        <f>IF(COUNT(F19:I19)&gt;0,IF(I19&lt;&gt;"",ROUND(AVERAGE(F19:I19),4),ROUND(AVERAGE(F19:H19,P19),4)),"")</f>
        <v/>
      </c>
      <c r="W19" s="132" t="str">
        <f>IF(V19&lt;&gt;"",IF(V19&lt;-5%,"melhorar 5pp","manter acima de -5%"),"")</f>
        <v/>
      </c>
      <c r="X19" s="132" t="str">
        <f>IF(V19&lt;&gt;"",IF(V19&lt;-5%,V19+5%,-5%),"")</f>
        <v/>
      </c>
      <c r="Y19" s="132" t="str">
        <f t="shared" si="1"/>
        <v/>
      </c>
      <c r="Z19" s="138" t="str">
        <f>IF(COUNT($F19:I19)&gt;0,IF(Y19&lt;&gt;"",IF(Y19&gt;=X19,1,0),""),"")</f>
        <v/>
      </c>
      <c r="AA19" s="288" t="str">
        <f>IF(COUNT(Z19:Z20)=2,IF(AND(V19&lt;-5%,SUM(Z19:Z20)&gt;=1),1,IF(AND(V19&gt;=-5%,SUM(Z19:Z20)=2),1,0)),"")</f>
        <v/>
      </c>
      <c r="AB19" s="289" t="str">
        <f>IF(AND('Domínio 1'!F78&lt;&gt;"",AA19&lt;&gt;""),'Domínio 1'!F78,"")</f>
        <v/>
      </c>
      <c r="AC19" s="287"/>
      <c r="AD19" s="131" t="str">
        <f>IF(COUNT(F19:J19)&gt;0,IF(J19&lt;&gt;"",ROUND(AVERAGE(F19:J19),4),IF(I19&lt;&gt;"",ROUND(AVERAGE(F19:I19,X19),4),IF(COUNT(F19:H19)&gt;0,ROUND(AVERAGE(F19:H19,P19,X19),4),""))),"")</f>
        <v/>
      </c>
      <c r="AE19" s="132" t="str">
        <f>IF(AD19&lt;&gt;"",IF(AD19&lt;-5%,"melhorar 5pp","manter acima de -5%"),"")</f>
        <v/>
      </c>
      <c r="AF19" s="132" t="str">
        <f>IF(AD19&lt;&gt;"",IF(AD19&lt;-5%,AD19+5%,-5%),"")</f>
        <v/>
      </c>
      <c r="AG19" s="132" t="str">
        <f t="shared" si="2"/>
        <v/>
      </c>
      <c r="AH19" s="138" t="str">
        <f>IF(COUNT($F19:J19)&gt;0,IF(AG19&lt;&gt;"",IF(AG19&gt;=AF19,1,0),""),"")</f>
        <v/>
      </c>
      <c r="AI19" s="288" t="str">
        <f>IF(COUNT(AH19:AH20)=2,IF(AND(AD19&lt;-5%,SUM(AH19:AH20)&gt;=1),1,IF(AND(AD19&gt;=-5%,SUM(AH19:AH20)=2),1,0)),"")</f>
        <v/>
      </c>
      <c r="AJ19" s="289" t="str">
        <f>IF(AND('Domínio 1'!F79&lt;&gt;"",AI19&lt;&gt;""),'Domínio 1'!F79,"")</f>
        <v/>
      </c>
      <c r="AK19" s="287"/>
      <c r="AL19" s="131" t="str">
        <f>IF(COUNT(F19:K19)&gt;0,IF(K19&lt;&gt;"",ROUND(AVERAGE(F19:K19),4),IF(J19&lt;&gt;"",ROUND(AVERAGE(F19:J19,AF19),4),IF(I19&lt;&gt;"",ROUND(AVERAGE(F19:I19,X19,AF19),4),IF(COUNT(F19:H19)&gt;0,ROUND(AVERAGE(F19:H19,P19,X19,AF19),4),"")))),"")</f>
        <v/>
      </c>
      <c r="AM19" s="132" t="str">
        <f>IF(AL19&lt;&gt;"",IF(AL19&lt;-5%,"melhorar 5pp","manter acima de -5%"),"")</f>
        <v/>
      </c>
      <c r="AN19" s="132" t="str">
        <f>IF(AL19&lt;&gt;"",IF(AL19&lt;-5%,AL19+5%,-5%),"")</f>
        <v/>
      </c>
      <c r="AO19" s="132" t="str">
        <f t="shared" si="3"/>
        <v/>
      </c>
      <c r="AP19" s="138" t="str">
        <f>IF(COUNT($F19:K19)&gt;0,IF(AO19&lt;&gt;"",IF(AO19&gt;=AN19,1,0),""),"")</f>
        <v/>
      </c>
      <c r="AQ19" s="288" t="str">
        <f>IF(COUNT(AP19:AP20)=2,IF(AND(AL19&lt;-5%,SUM(AP19:AP20)&gt;=1),1,IF(AND(AL19&gt;=-5%,SUM(AP19:AP20)=2),1,0)),"")</f>
        <v/>
      </c>
      <c r="AR19" s="289" t="str">
        <f>IF(AND('Domínio 1'!F80&lt;&gt;"",AQ19&lt;&gt;""),'Domínio 1'!F80,"")</f>
        <v/>
      </c>
      <c r="AS19" s="287"/>
      <c r="AT19" s="131" t="str">
        <f>IF(COUNT(F19:L19)&gt;0,IF(L19&lt;&gt;"",ROUND(AVERAGE(F19:L19),4),IF(K19&lt;&gt;"",ROUND(AVERAGE(F19:K19,AN19),4),IF(J19&lt;&gt;"",ROUND(AVERAGE(F19:J19,AF19,AN19),4),IF(I19&lt;&gt;"",ROUND(AVERAGE(F19:I19,X19,AF19,AN19),4),IF(COUNT(F19:H19)&gt;0,ROUND(AVERAGE(F19:H19,P19,X19,AF19,AN19),4),""))))),"")</f>
        <v/>
      </c>
      <c r="AU19" s="132" t="str">
        <f>IF(AT19&lt;&gt;"",IF(AT19&lt;-5%,"melhorar 5pp","manter acima de -5%"),"")</f>
        <v/>
      </c>
      <c r="AV19" s="132" t="str">
        <f>IF(AT19&lt;&gt;"",IF(AT19&lt;-5%,AT19+5%,-5%),"")</f>
        <v/>
      </c>
      <c r="AW19" s="132" t="str">
        <f t="shared" si="4"/>
        <v/>
      </c>
      <c r="AX19" s="138" t="str">
        <f>IF(COUNT($F19:L19)&gt;0,IF(AW19&lt;&gt;"",IF(AW19&gt;=AV19,1,0),""),"")</f>
        <v/>
      </c>
      <c r="AY19" s="288" t="str">
        <f>IF(COUNT(AX19:AX20)=2,IF(AND(AT19&lt;-5%,SUM(AX19:AX20)&gt;=1),1,IF(AND(AT19&gt;=-5%,SUM(AX19:AX20)=2),1,0)),"")</f>
        <v/>
      </c>
      <c r="AZ19" s="289" t="str">
        <f>IF(AND('Domínio 1'!F81&lt;&gt;"",AY19&lt;&gt;""),'Domínio 1'!F81,"")</f>
        <v/>
      </c>
      <c r="BA19" s="287"/>
    </row>
    <row r="20" spans="2:53" s="134" customFormat="1" ht="24" customHeight="1" x14ac:dyDescent="0.2">
      <c r="B20" s="305"/>
      <c r="C20" s="301"/>
      <c r="D20" s="299"/>
      <c r="E20" s="140" t="s">
        <v>1</v>
      </c>
      <c r="F20" s="136" t="str">
        <f>IF('Domínio 1'!L74&lt;&gt;"",'Domínio 1'!L74,"")</f>
        <v/>
      </c>
      <c r="G20" s="136" t="str">
        <f>IF('Domínio 1'!L75&lt;&gt;"",'Domínio 1'!L75,"")</f>
        <v/>
      </c>
      <c r="H20" s="136" t="str">
        <f>IF('Domínio 1'!L76&lt;&gt;"",'Domínio 1'!L76,"")</f>
        <v/>
      </c>
      <c r="I20" s="136" t="str">
        <f>IF('Domínio 1'!L77&lt;&gt;"",'Domínio 1'!L77,"")</f>
        <v/>
      </c>
      <c r="J20" s="136" t="str">
        <f>IF('Domínio 1'!L78&lt;&gt;"",'Domínio 1'!L78,"")</f>
        <v/>
      </c>
      <c r="K20" s="136" t="str">
        <f>IF('Domínio 1'!L79&lt;&gt;"",'Domínio 1'!L79,"")</f>
        <v/>
      </c>
      <c r="L20" s="136" t="str">
        <f>IF('Domínio 1'!L80&lt;&gt;"",'Domínio 1'!L80,"")</f>
        <v/>
      </c>
      <c r="M20" s="136" t="str">
        <f>IF('Domínio 1'!L81&lt;&gt;"",'Domínio 1'!L81,"")</f>
        <v/>
      </c>
      <c r="N20" s="137" t="str">
        <f>IF(COUNT(F20:H20)&gt;0,ROUND(AVERAGE(F20:H20),2),"")</f>
        <v/>
      </c>
      <c r="O20" s="137" t="str">
        <f>IF(N20&lt;&gt;"",IF(N19&lt;-5%,"melhorar 0,5",IF(N20&lt;-0.25,"melhorar 0,25","manter acima de -0,25")),"")</f>
        <v/>
      </c>
      <c r="P20" s="137" t="str">
        <f>IF(N20&lt;&gt;"",IF(N19&lt;-5%,N20+0.5,IF(N20&lt;-0.25,N20+0.25,-0.25)),"")</f>
        <v/>
      </c>
      <c r="Q20" s="137" t="str">
        <f t="shared" si="0"/>
        <v/>
      </c>
      <c r="R20" s="138" t="str">
        <f>IF(COUNT($F20:H20)&gt;0,IF(Q20&lt;&gt;"",IF(Q20&gt;=P20,1,0),""),"")</f>
        <v/>
      </c>
      <c r="S20" s="288"/>
      <c r="T20" s="288"/>
      <c r="U20" s="287"/>
      <c r="V20" s="137" t="str">
        <f>IF(COUNT(F20:I20)&gt;0,IF(I20&lt;&gt;"",ROUND(AVERAGE(F20:I20),2),ROUND(AVERAGE(F20:H20,P20),2)),"")</f>
        <v/>
      </c>
      <c r="W20" s="137" t="str">
        <f>IF(V20&lt;&gt;"",IF(V19&lt;-5%,"melhorar 0,5",IF(V20&lt;-0.25,"melhorar 0,25","manter acima de -0,25")),"")</f>
        <v/>
      </c>
      <c r="X20" s="137" t="str">
        <f>IF(V20&lt;&gt;"",IF(V19&lt;-5%,V20+0.5,IF(V20&lt;-0.25,V20+0.25,-0.25)),"")</f>
        <v/>
      </c>
      <c r="Y20" s="137" t="str">
        <f t="shared" si="1"/>
        <v/>
      </c>
      <c r="Z20" s="138" t="str">
        <f>IF(COUNT($F20:I20)&gt;0,IF(Y20&lt;&gt;"",IF(Y20&gt;=X20,1,0),""),"")</f>
        <v/>
      </c>
      <c r="AA20" s="288"/>
      <c r="AB20" s="288"/>
      <c r="AC20" s="287"/>
      <c r="AD20" s="137" t="str">
        <f>IF(COUNT(F20:J20)&gt;0,IF(J20&lt;&gt;"",ROUND(AVERAGE(F20:J20),2),IF(I20&lt;&gt;"",ROUND(AVERAGE(F20:I20,X20),2),IF(COUNT(F20:H20)&gt;0,ROUND(AVERAGE(F20:H20,P20,X20),2),""))),"")</f>
        <v/>
      </c>
      <c r="AE20" s="137" t="str">
        <f>IF(AD20&lt;&gt;"",IF(AD19&lt;-5%,"melhorar 0,5",IF(AD20&lt;-0.25,"melhorar 0,25","manter acima de -0,25")),"")</f>
        <v/>
      </c>
      <c r="AF20" s="137" t="str">
        <f>IF(AD20&lt;&gt;"",IF(AD19&lt;-5%,AD20+0.5,IF(AD20&lt;-0.25,AD20+0.25,-0.25)),"")</f>
        <v/>
      </c>
      <c r="AG20" s="137" t="str">
        <f t="shared" si="2"/>
        <v/>
      </c>
      <c r="AH20" s="138" t="str">
        <f>IF(COUNT($F20:J20)&gt;0,IF(AG20&lt;&gt;"",IF(AG20&gt;=AF20,1,0),""),"")</f>
        <v/>
      </c>
      <c r="AI20" s="288"/>
      <c r="AJ20" s="288"/>
      <c r="AK20" s="287"/>
      <c r="AL20" s="137" t="str">
        <f>IF(COUNT(F20:K20)&gt;0,IF(K20&lt;&gt;"",ROUND(AVERAGE(F20:K20),2),IF(J20&lt;&gt;"",ROUND(AVERAGE(F20:J20,AF20),2),IF(I20&lt;&gt;"",ROUND(AVERAGE(F20:I20,X20,AF20),2),IF(COUNT(F20:H20)&gt;0,ROUND(AVERAGE(F20:H20,P20,X20,AF20),2),"")))),"")</f>
        <v/>
      </c>
      <c r="AM20" s="137" t="str">
        <f>IF(AL20&lt;&gt;"",IF(AL19&lt;-5%,"melhorar 0,5",IF(AL20&lt;-0.25,"melhorar 0,25","manter acima de -0,25")),"")</f>
        <v/>
      </c>
      <c r="AN20" s="137" t="str">
        <f>IF(AL20&lt;&gt;"",IF(AL19&lt;-5%,AL20+0.5,IF(AL20&lt;-0.25,AL20+0.25,-0.25)),"")</f>
        <v/>
      </c>
      <c r="AO20" s="137" t="str">
        <f t="shared" si="3"/>
        <v/>
      </c>
      <c r="AP20" s="138" t="str">
        <f>IF(COUNT($F20:K20)&gt;0,IF(AO20&lt;&gt;"",IF(AO20&gt;=AN20,1,0),""),"")</f>
        <v/>
      </c>
      <c r="AQ20" s="288"/>
      <c r="AR20" s="288"/>
      <c r="AS20" s="287"/>
      <c r="AT20" s="137" t="str">
        <f>IF(COUNT(F20:L20)&gt;0,IF(L20&lt;&gt;"",ROUND(AVERAGE(F20:L20),2),IF(K20&lt;&gt;"",ROUND(AVERAGE(F20:K20,AN20),2),IF(J20&lt;&gt;"",ROUND(AVERAGE(F20:J20,AF20,AN20),2),IF(I20&lt;&gt;"",ROUND(AVERAGE(F20:I20,X20,AF20,AN20),2),IF(COUNT(F20:H20)&gt;0,ROUND(AVERAGE(F20:H20,P20,X20,AF20,AN20),2),""))))),"")</f>
        <v/>
      </c>
      <c r="AU20" s="137" t="str">
        <f>IF(AT20&lt;&gt;"",IF(AT19&lt;-5%,"melhorar 0,5",IF(AT20&lt;-0.25,"melhorar 0,25","manter acima de -0,25")),"")</f>
        <v/>
      </c>
      <c r="AV20" s="137" t="str">
        <f>IF(AT20&lt;&gt;"",IF(AT19&lt;-5%,AT20+0.5,IF(AT20&lt;-0.25,AT20+0.25,-0.25)),"")</f>
        <v/>
      </c>
      <c r="AW20" s="137" t="str">
        <f t="shared" si="4"/>
        <v/>
      </c>
      <c r="AX20" s="138" t="str">
        <f>IF(COUNT($F20:L20)&gt;0,IF(AW20&lt;&gt;"",IF(AW20&gt;=AV20,1,0),""),"")</f>
        <v/>
      </c>
      <c r="AY20" s="288"/>
      <c r="AZ20" s="288"/>
      <c r="BA20" s="287"/>
    </row>
    <row r="21" spans="2:53" s="134" customFormat="1" ht="24" customHeight="1" x14ac:dyDescent="0.2">
      <c r="B21" s="305" t="s">
        <v>10</v>
      </c>
      <c r="C21" s="301" t="s">
        <v>38</v>
      </c>
      <c r="D21" s="300" t="s">
        <v>4</v>
      </c>
      <c r="E21" s="300"/>
      <c r="F21" s="130">
        <f xml:space="preserve"> IF('Domínio 2'!F6&lt;&gt;"",'Domínio 2'!F6,"")</f>
        <v>5.5E-2</v>
      </c>
      <c r="G21" s="130">
        <f xml:space="preserve"> IF('Domínio 2'!F7&lt;&gt;"",'Domínio 2'!F7,"")</f>
        <v>4.6600000000000003E-2</v>
      </c>
      <c r="H21" s="130">
        <f xml:space="preserve"> IF('Domínio 2'!F8&lt;&gt;"",'Domínio 2'!F8,"")</f>
        <v>4.9200000000000001E-2</v>
      </c>
      <c r="I21" s="130">
        <f xml:space="preserve"> IF('Domínio 2'!F9&lt;&gt;"",'Domínio 2'!F9,"")</f>
        <v>5.1900000000000002E-2</v>
      </c>
      <c r="J21" s="130">
        <f xml:space="preserve"> IF('Domínio 2'!F10&lt;&gt;"",'Domínio 2'!F10,"")</f>
        <v>5.3100000000000001E-2</v>
      </c>
      <c r="K21" s="130" t="str">
        <f xml:space="preserve"> IF('Domínio 2'!F11&lt;&gt;"",'Domínio 2'!F11,"")</f>
        <v/>
      </c>
      <c r="L21" s="130" t="str">
        <f xml:space="preserve"> IF('Domínio 2'!F12&lt;&gt;"",'Domínio 2'!F12,"")</f>
        <v/>
      </c>
      <c r="M21" s="130" t="str">
        <f xml:space="preserve"> IF('Domínio 2'!F13&lt;&gt;"",'Domínio 2'!F13,"")</f>
        <v/>
      </c>
      <c r="N21" s="132">
        <f>IF(COUNT(F21:H21)&gt;0,ROUND(AVERAGE(F21:H21),4),"")</f>
        <v>5.0299999999999997E-2</v>
      </c>
      <c r="O21" s="132" t="str">
        <f>IF(N21&lt;&gt;"",IF(N21&gt;7.5%,"melhorar 5pp","manter abaixo de 7,5%"),"")</f>
        <v>manter abaixo de 7,5%</v>
      </c>
      <c r="P21" s="132">
        <f>IF(N21&lt;&gt;"",IF(N21&gt;7.5%,N21-5%,7.5%),"")</f>
        <v>7.4999999999999997E-2</v>
      </c>
      <c r="Q21" s="132">
        <f t="shared" si="0"/>
        <v>5.1900000000000002E-2</v>
      </c>
      <c r="R21" s="138">
        <f>IF(COUNT($F21:H21)&gt;0,IF(Q21&lt;&gt;"",IF(Q21&lt;=P21,1,0),""),"")</f>
        <v>1</v>
      </c>
      <c r="S21" s="288">
        <f>IF(COUNT(R21:R22)=2,IF(SUM(R21:R22)&gt;=1,1,0),"")</f>
        <v>1</v>
      </c>
      <c r="T21" s="289">
        <f>IF(AND('Domínio 2'!D9&lt;&gt;"",S21&lt;&gt;""),'Domínio 2'!D9,"")</f>
        <v>231</v>
      </c>
      <c r="U21" s="287">
        <f>IF(AND(COUNT(S21:S28)=COUNT(T21:T28),COUNT(T21:T28)&gt;0),ROUND((IF(S21&lt;&gt;"",T21*S21,0)+IF(S23&lt;&gt;"",T23*S23,0)+IF(S25&lt;&gt;"",T25*S25,0)+IF(S27&lt;&gt;"",T27*S27,0))/SUM(T21:T28),2),"")</f>
        <v>0.62</v>
      </c>
      <c r="V21" s="132">
        <f>IF(COUNT(F21:I21)&gt;0,IF(I21&lt;&gt;"",ROUND(AVERAGE(F21:I21),4),ROUND(AVERAGE(F21:H21,P21),4)),"")</f>
        <v>5.0700000000000002E-2</v>
      </c>
      <c r="W21" s="132" t="str">
        <f>IF(V21&lt;&gt;"",IF(V21&gt;7.5%,"melhorar 5pp","manter abaixo de 7,5%"),"")</f>
        <v>manter abaixo de 7,5%</v>
      </c>
      <c r="X21" s="132">
        <f>IF(V21&lt;&gt;"",IF(V21&gt;7.5%,V21-5%,7.5%),"")</f>
        <v>7.4999999999999997E-2</v>
      </c>
      <c r="Y21" s="132">
        <f>IF(J21&lt;&gt;"",J21,"")</f>
        <v>5.3100000000000001E-2</v>
      </c>
      <c r="Z21" s="138">
        <f>IF(COUNT($F21:I21)&gt;0,IF(Y21&lt;&gt;"",IF(Y21&lt;=X21,1,0),""),"")</f>
        <v>1</v>
      </c>
      <c r="AA21" s="288">
        <f>IF(COUNT(Z21:Z22)=2,IF(SUM(Z21:Z22)&gt;=1,1,0),"")</f>
        <v>1</v>
      </c>
      <c r="AB21" s="289">
        <f>IF(AND('Domínio 2'!D10&lt;&gt;"",AA21&lt;&gt;""),'Domínio 2'!D10,"")</f>
        <v>207</v>
      </c>
      <c r="AC21" s="287">
        <f>IF(AND(COUNT(AA21:AA28)=COUNT(AB21:AB28),COUNT(AB21:AB28)&gt;0),ROUND((IF(AA21&lt;&gt;"",AB21*AA21,0)+IF(AA23&lt;&gt;"",AB23*AA23,0)+IF(AA25&lt;&gt;"",AB25*AA25,0)+IF(AA27&lt;&gt;"",AB27*AA27,0))/SUM(AB21:AB28),2),"")</f>
        <v>1</v>
      </c>
      <c r="AD21" s="132">
        <f>IF(COUNT(F21:J21)&gt;0,IF(J21&lt;&gt;"",ROUND(AVERAGE(F21:J21),4),IF(I21&lt;&gt;"",ROUND(AVERAGE(F21:I21,X21),4),IF(COUNT(F21:H21)&gt;0,ROUND(AVERAGE(F21:H21,P21,X21),4),""))),"")</f>
        <v>5.1200000000000002E-2</v>
      </c>
      <c r="AE21" s="132" t="str">
        <f>IF(AD21&lt;&gt;"",IF(AD21&gt;7.5%,"melhorar 5pp","manter abaixo de 7,5%"),"")</f>
        <v>manter abaixo de 7,5%</v>
      </c>
      <c r="AF21" s="132">
        <f>IF(AD21&lt;&gt;"",IF(AD21&gt;7.5%,AD21-5%,7.5%),"")</f>
        <v>7.4999999999999997E-2</v>
      </c>
      <c r="AG21" s="132" t="str">
        <f t="shared" si="2"/>
        <v/>
      </c>
      <c r="AH21" s="138" t="str">
        <f>IF(COUNT($F21:J21)&gt;0,IF(AG21&lt;&gt;"",IF(AG21&lt;=AF21,1,0),""),"")</f>
        <v/>
      </c>
      <c r="AI21" s="288" t="str">
        <f>IF(COUNT(AH21:AH22)=2,IF(SUM(AH21:AH22)&gt;=1,1,0),"")</f>
        <v/>
      </c>
      <c r="AJ21" s="289" t="str">
        <f>IF(AND('Domínio 2'!D11&lt;&gt;"",AI21&lt;&gt;""),'Domínio 2'!D11,"")</f>
        <v/>
      </c>
      <c r="AK21" s="287" t="str">
        <f>IF(AND(COUNT(AI21:AI28)=COUNT(AJ21:AJ28),COUNT(AJ21:AJ28)&gt;0),ROUND((IF(AI21&lt;&gt;"",AJ21*AI21,0)+IF(AI23&lt;&gt;"",AJ23*AI23,0)+IF(AI25&lt;&gt;"",AJ25*AI25,0)+IF(AI27&lt;&gt;"",AJ27*AI27,0))/SUM(AJ21:AJ28),2),"")</f>
        <v/>
      </c>
      <c r="AL21" s="132">
        <f>IF(COUNT(F21:K21)&gt;0,IF(K21&lt;&gt;"",ROUND(AVERAGE(F21:K21),4),IF(J21&lt;&gt;"",ROUND(AVERAGE(F21:J21,AF21),4),IF(I21&lt;&gt;"",ROUND(AVERAGE(F21:I21,X21,AF21),4),IF(COUNT(F21:H21)&gt;0,ROUND(AVERAGE(F21:H21,P21,X21,AF21),4),"")))),"")</f>
        <v>5.5100000000000003E-2</v>
      </c>
      <c r="AM21" s="132" t="str">
        <f>IF(AL21&lt;&gt;"",IF(AL21&gt;7.5%,"melhorar 5pp","manter abaixo de 7,5%"),"")</f>
        <v>manter abaixo de 7,5%</v>
      </c>
      <c r="AN21" s="132">
        <f>IF(AL21&lt;&gt;"",IF(AL21&gt;7.5%,AL21-5%,7.5%),"")</f>
        <v>7.4999999999999997E-2</v>
      </c>
      <c r="AO21" s="132" t="str">
        <f t="shared" si="3"/>
        <v/>
      </c>
      <c r="AP21" s="138" t="str">
        <f>IF(COUNT($F21:K21)&gt;0,IF(AO21&lt;&gt;"",IF(AO21&lt;=AN21,1,0),""),"")</f>
        <v/>
      </c>
      <c r="AQ21" s="288" t="str">
        <f>IF(COUNT(AP21:AP22)=2,IF(SUM(AP21:AP22)&gt;=1,1,0),"")</f>
        <v/>
      </c>
      <c r="AR21" s="289" t="str">
        <f>IF(AND('Domínio 2'!D12&lt;&gt;"",AQ21&lt;&gt;""),'Domínio 2'!D12,"")</f>
        <v/>
      </c>
      <c r="AS21" s="287" t="str">
        <f>IF(AND(COUNT(AQ21:AQ28)=COUNT(AR21:AR28),COUNT(AR21:AR28)&gt;0),ROUND((IF(AQ21&lt;&gt;"",AR21*AQ21,0)+IF(AQ23&lt;&gt;"",AR23*AQ23,0)+IF(AQ25&lt;&gt;"",AR25*AQ25,0)+IF(AQ27&lt;&gt;"",AR27*AQ27,0))/SUM(AR21:AR28),2),"")</f>
        <v/>
      </c>
      <c r="AT21" s="132">
        <f>IF(COUNT(F21:L21)&gt;0,IF(L21&lt;&gt;"",ROUND(AVERAGE(F21:L21),4),IF(K21&lt;&gt;"",ROUND(AVERAGE(F21:K21,AN21),4),IF(J21&lt;&gt;"",ROUND(AVERAGE(F21:J21,AF21,AN21),4),IF(I21&lt;&gt;"",ROUND(AVERAGE(F21:I21,X21,AF21,AN21),4),IF(COUNT(F21:H21)&gt;0,ROUND(AVERAGE(F21:H21,P21,X21,AF21,AN21),4),""))))),"")</f>
        <v>5.8000000000000003E-2</v>
      </c>
      <c r="AU21" s="132" t="str">
        <f>IF(AT21&lt;&gt;"",IF(AT21&gt;7.5%,"melhorar 5pp","manter abaixo de 7,5%"),"")</f>
        <v>manter abaixo de 7,5%</v>
      </c>
      <c r="AV21" s="132">
        <f>IF(AT21&lt;&gt;"",IF(AT21&gt;7.5%,AT21-5%,7.5%),"")</f>
        <v>7.4999999999999997E-2</v>
      </c>
      <c r="AW21" s="132" t="str">
        <f t="shared" si="4"/>
        <v/>
      </c>
      <c r="AX21" s="138" t="str">
        <f>IF(COUNT($F21:L21)&gt;0,IF(AW21&lt;&gt;"",IF(AW21&lt;=AV21,1,0),""),"")</f>
        <v/>
      </c>
      <c r="AY21" s="288" t="str">
        <f>IF(COUNT(AX21:AX22)=2,IF(SUM(AX21:AX22)&gt;=1,1,0),"")</f>
        <v/>
      </c>
      <c r="AZ21" s="289" t="str">
        <f>IF(AND('Domínio 2'!D13&lt;&gt;"",AY21&lt;&gt;""),'Domínio 2'!D13,"")</f>
        <v/>
      </c>
      <c r="BA21" s="287" t="str">
        <f>IF(AND(COUNT(AY21:AY28)=COUNT(AZ21:AZ28),COUNT(AZ21:AZ28)&gt;0),ROUND((IF(AY21&lt;&gt;"",AZ21*AY21,0)+IF(AY23&lt;&gt;"",AZ23*AY23,0)+IF(AY25&lt;&gt;"",AZ25*AY25,0)+IF(AY27&lt;&gt;"",AZ27*AY27,0))/SUM(AZ21:AZ28),2),"")</f>
        <v/>
      </c>
    </row>
    <row r="22" spans="2:53" s="134" customFormat="1" ht="24" customHeight="1" x14ac:dyDescent="0.2">
      <c r="B22" s="305"/>
      <c r="C22" s="299"/>
      <c r="D22" s="300" t="s">
        <v>5</v>
      </c>
      <c r="E22" s="300"/>
      <c r="F22" s="130">
        <f xml:space="preserve"> IF('Domínio 2'!I6&lt;&gt;"",'Domínio 2'!I6,"")</f>
        <v>0.88349999999999995</v>
      </c>
      <c r="G22" s="130">
        <f xml:space="preserve"> IF('Domínio 2'!I7&lt;&gt;"",'Domínio 2'!I7,"")</f>
        <v>0.871</v>
      </c>
      <c r="H22" s="130">
        <f xml:space="preserve"> IF('Domínio 2'!I8&lt;&gt;"",'Domínio 2'!I8,"")</f>
        <v>0.8347</v>
      </c>
      <c r="I22" s="130">
        <f xml:space="preserve"> IF('Domínio 2'!I9&lt;&gt;"",'Domínio 2'!I9,"")</f>
        <v>0.81820000000000004</v>
      </c>
      <c r="J22" s="130">
        <f xml:space="preserve"> IF('Domínio 2'!I10&lt;&gt;"",'Domínio 2'!I10,"")</f>
        <v>0.8841</v>
      </c>
      <c r="K22" s="130" t="str">
        <f xml:space="preserve"> IF('Domínio 2'!I11&lt;&gt;"",'Domínio 2'!I11,"")</f>
        <v/>
      </c>
      <c r="L22" s="130" t="str">
        <f xml:space="preserve"> IF('Domínio 2'!I12&lt;&gt;"",'Domínio 2'!I12,"")</f>
        <v/>
      </c>
      <c r="M22" s="130" t="str">
        <f xml:space="preserve"> IF('Domínio 2'!I13&lt;&gt;"",'Domínio 2'!I13,"")</f>
        <v/>
      </c>
      <c r="N22" s="132">
        <f t="shared" ref="N22:N31" si="5">IF(COUNT(F22:H22)&gt;0,ROUND(AVERAGE(F22:H22),4),"")</f>
        <v>0.86309999999999998</v>
      </c>
      <c r="O22" s="132" t="str">
        <f>IF(N22&lt;&gt;"",IF(N22&lt;96%,"melhorar 4pp","manter acima de 96%"),"")</f>
        <v>melhorar 4pp</v>
      </c>
      <c r="P22" s="132">
        <f>IF(N22&lt;&gt;"",IF(N22&lt;96%,N22+4%,96%),"")</f>
        <v>0.90310000000000001</v>
      </c>
      <c r="Q22" s="132">
        <f t="shared" si="0"/>
        <v>0.81820000000000004</v>
      </c>
      <c r="R22" s="138">
        <f>IF(COUNT($F22:H22)&gt;0,IF(Q22&lt;&gt;"",IF(Q22&gt;=P22,1,0),""),"")</f>
        <v>0</v>
      </c>
      <c r="S22" s="288"/>
      <c r="T22" s="288"/>
      <c r="U22" s="287"/>
      <c r="V22" s="132">
        <f t="shared" ref="V22:V31" si="6">IF(COUNT(F22:I22)&gt;0,IF(I22&lt;&gt;"",ROUND(AVERAGE(F22:I22),4),ROUND(AVERAGE(F22:H22,P22),4)),"")</f>
        <v>0.85189999999999999</v>
      </c>
      <c r="W22" s="132" t="str">
        <f>IF(V22&lt;&gt;"",IF(V22&lt;96%,"melhorar 4pp","manter acima de 96%"),"")</f>
        <v>melhorar 4pp</v>
      </c>
      <c r="X22" s="132">
        <f>IF(V22&lt;&gt;"",IF(V22&lt;96%,V22+4%,96%),"")</f>
        <v>0.89190000000000003</v>
      </c>
      <c r="Y22" s="132">
        <f t="shared" si="1"/>
        <v>0.8841</v>
      </c>
      <c r="Z22" s="138">
        <f>IF(COUNT($F22:I22)&gt;0,IF(Y22&lt;&gt;"",IF(Y22&gt;=X22,1,0),""),"")</f>
        <v>0</v>
      </c>
      <c r="AA22" s="288"/>
      <c r="AB22" s="288"/>
      <c r="AC22" s="287"/>
      <c r="AD22" s="132">
        <f t="shared" ref="AD22:AD31" si="7">IF(COUNT(F22:J22)&gt;0,IF(J22&lt;&gt;"",ROUND(AVERAGE(F22:J22),4),IF(I22&lt;&gt;"",ROUND(AVERAGE(F22:I22,X22),4),IF(COUNT(F22:H22)&gt;0,ROUND(AVERAGE(F22:H22,P22,X22),4),""))),"")</f>
        <v>0.85829999999999995</v>
      </c>
      <c r="AE22" s="132" t="str">
        <f>IF(AD22&lt;&gt;"",IF(AD22&lt;96%,"melhorar 4pp","manter acima de 96%"),"")</f>
        <v>melhorar 4pp</v>
      </c>
      <c r="AF22" s="132">
        <f>IF(AD22&lt;&gt;"",IF(AD22&lt;96%,AD22+4%,96%),"")</f>
        <v>0.89829999999999999</v>
      </c>
      <c r="AG22" s="132" t="str">
        <f t="shared" si="2"/>
        <v/>
      </c>
      <c r="AH22" s="138" t="str">
        <f>IF(COUNT($F22:J22)&gt;0,IF(AG22&lt;&gt;"",IF(AG22&gt;=AF22,1,0),""),"")</f>
        <v/>
      </c>
      <c r="AI22" s="288"/>
      <c r="AJ22" s="288"/>
      <c r="AK22" s="287"/>
      <c r="AL22" s="132">
        <f t="shared" ref="AL22:AL31" si="8">IF(COUNT(F22:K22)&gt;0,IF(K22&lt;&gt;"",ROUND(AVERAGE(F22:K22),4),IF(J22&lt;&gt;"",ROUND(AVERAGE(F22:J22,AF22),4),IF(I22&lt;&gt;"",ROUND(AVERAGE(F22:I22,X22,AF22),4),IF(COUNT(F22:H22)&gt;0,ROUND(AVERAGE(F22:H22,P22,X22,AF22),4),"")))),"")</f>
        <v>0.86499999999999999</v>
      </c>
      <c r="AM22" s="132" t="str">
        <f>IF(AL22&lt;&gt;"",IF(AL22&lt;96%,"melhorar 4pp","manter acima de 96%"),"")</f>
        <v>melhorar 4pp</v>
      </c>
      <c r="AN22" s="132">
        <f>IF(AL22&lt;&gt;"",IF(AL22&lt;96%,AL22+4%,96%),"")</f>
        <v>0.90500000000000003</v>
      </c>
      <c r="AO22" s="132" t="str">
        <f t="shared" si="3"/>
        <v/>
      </c>
      <c r="AP22" s="138" t="str">
        <f>IF(COUNT($F22:K22)&gt;0,IF(AO22&lt;&gt;"",IF(AO22&gt;=AN22,1,0),""),"")</f>
        <v/>
      </c>
      <c r="AQ22" s="288"/>
      <c r="AR22" s="288"/>
      <c r="AS22" s="287"/>
      <c r="AT22" s="132">
        <f t="shared" ref="AT22:AT31" si="9">IF(COUNT(F22:L22)&gt;0,IF(L22&lt;&gt;"",ROUND(AVERAGE(F22:L22),4),IF(K22&lt;&gt;"",ROUND(AVERAGE(F22:K22,AN22),4),IF(J22&lt;&gt;"",ROUND(AVERAGE(F22:J22,AF22,AN22),4),IF(I22&lt;&gt;"",ROUND(AVERAGE(F22:I22,X22,AF22,AN22),4),IF(COUNT(F22:H22)&gt;0,ROUND(AVERAGE(F22:H22,P22,X22,AF22,AN22),4),""))))),"")</f>
        <v>0.87070000000000003</v>
      </c>
      <c r="AU22" s="132" t="str">
        <f>IF(AT22&lt;&gt;"",IF(AT22&lt;96%,"melhorar 4pp","manter acima de 96%"),"")</f>
        <v>melhorar 4pp</v>
      </c>
      <c r="AV22" s="132">
        <f>IF(AT22&lt;&gt;"",IF(AT22&lt;96%,AT22+4%,96%),"")</f>
        <v>0.91070000000000007</v>
      </c>
      <c r="AW22" s="132" t="str">
        <f t="shared" si="4"/>
        <v/>
      </c>
      <c r="AX22" s="138" t="str">
        <f>IF(COUNT($F22:L22)&gt;0,IF(AW22&lt;&gt;"",IF(AW22&gt;=AV22,1,0),""),"")</f>
        <v/>
      </c>
      <c r="AY22" s="288"/>
      <c r="AZ22" s="288"/>
      <c r="BA22" s="287"/>
    </row>
    <row r="23" spans="2:53" s="134" customFormat="1" ht="24" customHeight="1" x14ac:dyDescent="0.2">
      <c r="B23" s="305"/>
      <c r="C23" s="301" t="s">
        <v>36</v>
      </c>
      <c r="D23" s="300" t="s">
        <v>4</v>
      </c>
      <c r="E23" s="300"/>
      <c r="F23" s="130">
        <f xml:space="preserve"> IF('Domínio 2'!F15&lt;&gt;"",'Domínio 2'!F15,"")</f>
        <v>8.72E-2</v>
      </c>
      <c r="G23" s="130">
        <f xml:space="preserve"> IF('Domínio 2'!F16&lt;&gt;"",'Domínio 2'!F16,"")</f>
        <v>0.13450000000000001</v>
      </c>
      <c r="H23" s="130">
        <f xml:space="preserve"> IF('Domínio 2'!F17&lt;&gt;"",'Domínio 2'!F17,"")</f>
        <v>1.0999999999999999E-2</v>
      </c>
      <c r="I23" s="130">
        <f xml:space="preserve"> IF('Domínio 2'!F18&lt;&gt;"",'Domínio 2'!F18,"")</f>
        <v>4.3499999999999997E-2</v>
      </c>
      <c r="J23" s="130">
        <f xml:space="preserve"> IF('Domínio 2'!F19&lt;&gt;"",'Domínio 2'!F19,"")</f>
        <v>8.0999999999999996E-3</v>
      </c>
      <c r="K23" s="130" t="str">
        <f xml:space="preserve"> IF('Domínio 2'!F20&lt;&gt;"",'Domínio 2'!F20,"")</f>
        <v/>
      </c>
      <c r="L23" s="130" t="str">
        <f xml:space="preserve"> IF('Domínio 2'!F21&lt;&gt;"",'Domínio 2'!F21,"")</f>
        <v/>
      </c>
      <c r="M23" s="130" t="str">
        <f xml:space="preserve"> IF('Domínio 2'!F22&lt;&gt;"",'Domínio 2'!F22,"")</f>
        <v/>
      </c>
      <c r="N23" s="132">
        <f t="shared" si="5"/>
        <v>7.7600000000000002E-2</v>
      </c>
      <c r="O23" s="132" t="str">
        <f>IF(N23&lt;&gt;"",IF(N23&gt;10%,"melhorar 5pp","manter abaixo de 10%"),"")</f>
        <v>manter abaixo de 10%</v>
      </c>
      <c r="P23" s="132">
        <f>IF(N23&lt;&gt;"",IF(N23&gt;10%,N23-5%,10%),"")</f>
        <v>0.1</v>
      </c>
      <c r="Q23" s="132">
        <f t="shared" si="0"/>
        <v>4.3499999999999997E-2</v>
      </c>
      <c r="R23" s="138">
        <f>IF(COUNT($F23:H23)&gt;0,IF(Q23&lt;&gt;"",IF(Q23&lt;=P23,1,0),""),"")</f>
        <v>1</v>
      </c>
      <c r="S23" s="288">
        <f>IF(COUNT(R23:R24)=2,IF(SUM(R23:R24)&gt;=1,1,0),"")</f>
        <v>1</v>
      </c>
      <c r="T23" s="289">
        <f>IF(AND('Domínio 2'!D18&lt;&gt;"",S23&lt;&gt;""),'Domínio 2'!D18,"")</f>
        <v>138</v>
      </c>
      <c r="U23" s="287"/>
      <c r="V23" s="132">
        <f t="shared" si="6"/>
        <v>6.9099999999999995E-2</v>
      </c>
      <c r="W23" s="132" t="str">
        <f>IF(V23&lt;&gt;"",IF(V23&gt;10%,"melhorar 5pp","manter abaixo de 10%"),"")</f>
        <v>manter abaixo de 10%</v>
      </c>
      <c r="X23" s="132">
        <f>IF(V23&lt;&gt;"",IF(V23&gt;10%,V23-5%,10%),"")</f>
        <v>0.1</v>
      </c>
      <c r="Y23" s="132">
        <f t="shared" si="1"/>
        <v>8.0999999999999996E-3</v>
      </c>
      <c r="Z23" s="138">
        <f>IF(COUNT($F23:I23)&gt;0,IF(Y23&lt;&gt;"",IF(Y23&lt;=X23,1,0),""),"")</f>
        <v>1</v>
      </c>
      <c r="AA23" s="288">
        <f>IF(COUNT(Z23:Z24)=2,IF(SUM(Z23:Z24)&gt;=1,1,0),"")</f>
        <v>1</v>
      </c>
      <c r="AB23" s="289">
        <f>IF(AND('Domínio 2'!D19&lt;&gt;"",AA23&lt;&gt;""),'Domínio 2'!D19,"")</f>
        <v>124</v>
      </c>
      <c r="AC23" s="287"/>
      <c r="AD23" s="132">
        <f t="shared" si="7"/>
        <v>5.6899999999999999E-2</v>
      </c>
      <c r="AE23" s="132" t="str">
        <f>IF(AD23&lt;&gt;"",IF(AD23&gt;10%,"melhorar 5pp","manter abaixo de 10%"),"")</f>
        <v>manter abaixo de 10%</v>
      </c>
      <c r="AF23" s="132">
        <f>IF(AD23&lt;&gt;"",IF(AD23&gt;10%,AD23-5%,10%),"")</f>
        <v>0.1</v>
      </c>
      <c r="AG23" s="132" t="str">
        <f t="shared" si="2"/>
        <v/>
      </c>
      <c r="AH23" s="138" t="str">
        <f>IF(COUNT($F23:J23)&gt;0,IF(AG23&lt;&gt;"",IF(AG23&lt;=AF23,1,0),""),"")</f>
        <v/>
      </c>
      <c r="AI23" s="288" t="str">
        <f>IF(COUNT(AH23:AH24)=2,IF(SUM(AH23:AH24)&gt;=1,1,0),"")</f>
        <v/>
      </c>
      <c r="AJ23" s="289" t="str">
        <f>IF(AND('Domínio 2'!D20&lt;&gt;"",AI23&lt;&gt;""),'Domínio 2'!D20,"")</f>
        <v/>
      </c>
      <c r="AK23" s="287"/>
      <c r="AL23" s="132">
        <f t="shared" si="8"/>
        <v>6.4100000000000004E-2</v>
      </c>
      <c r="AM23" s="132" t="str">
        <f>IF(AL23&lt;&gt;"",IF(AL23&gt;10%,"melhorar 5pp","manter abaixo de 10%"),"")</f>
        <v>manter abaixo de 10%</v>
      </c>
      <c r="AN23" s="132">
        <f>IF(AL23&lt;&gt;"",IF(AL23&gt;10%,AL23-5%,10%),"")</f>
        <v>0.1</v>
      </c>
      <c r="AO23" s="132" t="str">
        <f t="shared" si="3"/>
        <v/>
      </c>
      <c r="AP23" s="138" t="str">
        <f>IF(COUNT($F23:K23)&gt;0,IF(AO23&lt;&gt;"",IF(AO23&lt;=AN23,1,0),""),"")</f>
        <v/>
      </c>
      <c r="AQ23" s="288" t="str">
        <f>IF(COUNT(AP23:AP24)=2,IF(SUM(AP23:AP24)&gt;=1,1,0),"")</f>
        <v/>
      </c>
      <c r="AR23" s="289" t="str">
        <f>IF(AND('Domínio 2'!D21&lt;&gt;"",AQ23&lt;&gt;""),'Domínio 2'!D21,"")</f>
        <v/>
      </c>
      <c r="AS23" s="287"/>
      <c r="AT23" s="132">
        <f t="shared" si="9"/>
        <v>6.9199999999999998E-2</v>
      </c>
      <c r="AU23" s="132" t="str">
        <f>IF(AT23&lt;&gt;"",IF(AT23&gt;10%,"melhorar 5pp","manter abaixo de 10%"),"")</f>
        <v>manter abaixo de 10%</v>
      </c>
      <c r="AV23" s="132">
        <f>IF(AT23&lt;&gt;"",IF(AT23&gt;10%,AT23-5%,10%),"")</f>
        <v>0.1</v>
      </c>
      <c r="AW23" s="132" t="str">
        <f t="shared" si="4"/>
        <v/>
      </c>
      <c r="AX23" s="138" t="str">
        <f>IF(COUNT($F23:L23)&gt;0,IF(AW23&lt;&gt;"",IF(AW23&lt;=AV23,1,0),""),"")</f>
        <v/>
      </c>
      <c r="AY23" s="288" t="str">
        <f>IF(COUNT(AX23:AX24)=2,IF(SUM(AX23:AX24)&gt;=1,1,0),"")</f>
        <v/>
      </c>
      <c r="AZ23" s="289" t="str">
        <f>IF(AND('Domínio 2'!D22&lt;&gt;"",AY23&lt;&gt;""),'Domínio 2'!D22,"")</f>
        <v/>
      </c>
      <c r="BA23" s="287"/>
    </row>
    <row r="24" spans="2:53" s="134" customFormat="1" ht="24" customHeight="1" x14ac:dyDescent="0.2">
      <c r="B24" s="305"/>
      <c r="C24" s="299"/>
      <c r="D24" s="300" t="s">
        <v>5</v>
      </c>
      <c r="E24" s="300"/>
      <c r="F24" s="130">
        <f xml:space="preserve"> IF('Domínio 2'!I15&lt;&gt;"",'Domínio 2'!I15,"")</f>
        <v>0.55030000000000001</v>
      </c>
      <c r="G24" s="130">
        <f xml:space="preserve"> IF('Domínio 2'!I16&lt;&gt;"",'Domínio 2'!I16,"")</f>
        <v>0.55559999999999998</v>
      </c>
      <c r="H24" s="130">
        <f xml:space="preserve"> IF('Domínio 2'!I17&lt;&gt;"",'Domínio 2'!I17,"")</f>
        <v>0.7278</v>
      </c>
      <c r="I24" s="130">
        <f xml:space="preserve"> IF('Domínio 2'!I18&lt;&gt;"",'Domínio 2'!I18,"")</f>
        <v>0.78680000000000005</v>
      </c>
      <c r="J24" s="130">
        <f xml:space="preserve"> IF('Domínio 2'!I19&lt;&gt;"",'Domínio 2'!I19,"")</f>
        <v>0.7984</v>
      </c>
      <c r="K24" s="130" t="str">
        <f xml:space="preserve"> IF('Domínio 2'!I20&lt;&gt;"",'Domínio 2'!I20,"")</f>
        <v/>
      </c>
      <c r="L24" s="130" t="str">
        <f xml:space="preserve"> IF('Domínio 2'!I21&lt;&gt;"",'Domínio 2'!I21,"")</f>
        <v/>
      </c>
      <c r="M24" s="130" t="str">
        <f xml:space="preserve"> IF('Domínio 2'!I22&lt;&gt;"",'Domínio 2'!I22,"")</f>
        <v/>
      </c>
      <c r="N24" s="132">
        <f t="shared" si="5"/>
        <v>0.61119999999999997</v>
      </c>
      <c r="O24" s="132" t="str">
        <f>IF(N24&lt;&gt;"",IF(N24&lt;90%,"melhorar 4pp","manter acima de 90%"),"")</f>
        <v>melhorar 4pp</v>
      </c>
      <c r="P24" s="132">
        <f>IF(N24&lt;&gt;"",IF(N24&lt;90%,N24+4%,90%),"")</f>
        <v>0.6512</v>
      </c>
      <c r="Q24" s="132">
        <f t="shared" si="0"/>
        <v>0.78680000000000005</v>
      </c>
      <c r="R24" s="138">
        <f>IF(COUNT($F24:H24)&gt;0,IF(Q24&lt;&gt;"",IF(Q24&gt;=P24,1,0),""),"")</f>
        <v>1</v>
      </c>
      <c r="S24" s="288"/>
      <c r="T24" s="288"/>
      <c r="U24" s="287"/>
      <c r="V24" s="132">
        <f t="shared" si="6"/>
        <v>0.65510000000000002</v>
      </c>
      <c r="W24" s="132" t="str">
        <f>IF(V24&lt;&gt;"",IF(V24&lt;90%,"melhorar 4pp","manter acima de 90%"),"")</f>
        <v>melhorar 4pp</v>
      </c>
      <c r="X24" s="132">
        <f>IF(V24&lt;&gt;"",IF(V24&lt;90%,V24+4%,90%),"")</f>
        <v>0.69510000000000005</v>
      </c>
      <c r="Y24" s="132">
        <f t="shared" si="1"/>
        <v>0.7984</v>
      </c>
      <c r="Z24" s="138">
        <f>IF(COUNT($F24:I24)&gt;0,IF(Y24&lt;&gt;"",IF(Y24&gt;=X24,1,0),""),"")</f>
        <v>1</v>
      </c>
      <c r="AA24" s="288"/>
      <c r="AB24" s="288"/>
      <c r="AC24" s="287"/>
      <c r="AD24" s="132">
        <f t="shared" si="7"/>
        <v>0.68379999999999996</v>
      </c>
      <c r="AE24" s="132" t="str">
        <f>IF(AD24&lt;&gt;"",IF(AD24&lt;90%,"melhorar 4pp","manter acima de 90%"),"")</f>
        <v>melhorar 4pp</v>
      </c>
      <c r="AF24" s="132">
        <f>IF(AD24&lt;&gt;"",IF(AD24&lt;90%,AD24+4%,90%),"")</f>
        <v>0.7238</v>
      </c>
      <c r="AG24" s="132" t="str">
        <f t="shared" si="2"/>
        <v/>
      </c>
      <c r="AH24" s="138" t="str">
        <f>IF(COUNT($F24:J24)&gt;0,IF(AG24&lt;&gt;"",IF(AG24&gt;=AF24,1,0),""),"")</f>
        <v/>
      </c>
      <c r="AI24" s="288"/>
      <c r="AJ24" s="288"/>
      <c r="AK24" s="287"/>
      <c r="AL24" s="132">
        <f t="shared" si="8"/>
        <v>0.6905</v>
      </c>
      <c r="AM24" s="132" t="str">
        <f>IF(AL24&lt;&gt;"",IF(AL24&lt;90%,"melhorar 4pp","manter acima de 90%"),"")</f>
        <v>melhorar 4pp</v>
      </c>
      <c r="AN24" s="132">
        <f>IF(AL24&lt;&gt;"",IF(AL24&lt;90%,AL24+4%,90%),"")</f>
        <v>0.73050000000000004</v>
      </c>
      <c r="AO24" s="132" t="str">
        <f t="shared" si="3"/>
        <v/>
      </c>
      <c r="AP24" s="138" t="str">
        <f>IF(COUNT($F24:K24)&gt;0,IF(AO24&lt;&gt;"",IF(AO24&gt;=AN24,1,0),""),"")</f>
        <v/>
      </c>
      <c r="AQ24" s="288"/>
      <c r="AR24" s="288"/>
      <c r="AS24" s="287"/>
      <c r="AT24" s="132">
        <f t="shared" si="9"/>
        <v>0.69620000000000004</v>
      </c>
      <c r="AU24" s="132" t="str">
        <f>IF(AT24&lt;&gt;"",IF(AT24&lt;90%,"melhorar 4pp","manter acima de 90%"),"")</f>
        <v>melhorar 4pp</v>
      </c>
      <c r="AV24" s="132">
        <f>IF(AT24&lt;&gt;"",IF(AT24&lt;90%,AT24+4%,90%),"")</f>
        <v>0.73620000000000008</v>
      </c>
      <c r="AW24" s="132" t="str">
        <f t="shared" si="4"/>
        <v/>
      </c>
      <c r="AX24" s="138" t="str">
        <f>IF(COUNT($F24:L24)&gt;0,IF(AW24&lt;&gt;"",IF(AW24&gt;=AV24,1,0),""),"")</f>
        <v/>
      </c>
      <c r="AY24" s="288"/>
      <c r="AZ24" s="288"/>
      <c r="BA24" s="287"/>
    </row>
    <row r="25" spans="2:53" s="134" customFormat="1" ht="24" customHeight="1" x14ac:dyDescent="0.2">
      <c r="B25" s="305"/>
      <c r="C25" s="301" t="s">
        <v>37</v>
      </c>
      <c r="D25" s="300" t="s">
        <v>4</v>
      </c>
      <c r="E25" s="300"/>
      <c r="F25" s="130">
        <f xml:space="preserve"> IF('Domínio 2'!F24&lt;&gt;"",'Domínio 2'!F24,"")</f>
        <v>0.14879999999999999</v>
      </c>
      <c r="G25" s="130">
        <f xml:space="preserve"> IF('Domínio 2'!F25&lt;&gt;"",'Domínio 2'!F25,"")</f>
        <v>0.21029999999999999</v>
      </c>
      <c r="H25" s="130">
        <f xml:space="preserve"> IF('Domínio 2'!F26&lt;&gt;"",'Domínio 2'!F26,"")</f>
        <v>0.14349999999999999</v>
      </c>
      <c r="I25" s="130">
        <f xml:space="preserve"> IF('Domínio 2'!F27&lt;&gt;"",'Domínio 2'!F27,"")</f>
        <v>0.2203</v>
      </c>
      <c r="J25" s="130">
        <f xml:space="preserve"> IF('Domínio 2'!F28&lt;&gt;"",'Domínio 2'!F28,"")</f>
        <v>1.6799999999999999E-2</v>
      </c>
      <c r="K25" s="130" t="str">
        <f xml:space="preserve"> IF('Domínio 2'!F29&lt;&gt;"",'Domínio 2'!F29,"")</f>
        <v/>
      </c>
      <c r="L25" s="130" t="str">
        <f xml:space="preserve"> IF('Domínio 2'!F30&lt;&gt;"",'Domínio 2'!F30,"")</f>
        <v/>
      </c>
      <c r="M25" s="130" t="str">
        <f xml:space="preserve"> IF('Domínio 2'!F31&lt;&gt;"",'Domínio 2'!F31,"")</f>
        <v/>
      </c>
      <c r="N25" s="132">
        <f t="shared" si="5"/>
        <v>0.16750000000000001</v>
      </c>
      <c r="O25" s="132" t="str">
        <f>IF(N25&lt;&gt;"",IF(N25&gt;10%,"melhorar 5pp","manter abaixo de 10%"),"")</f>
        <v>melhorar 5pp</v>
      </c>
      <c r="P25" s="132">
        <f>IF(N25&lt;&gt;"",IF(N25&gt;10%,N25-5%,10%),"")</f>
        <v>0.11750000000000001</v>
      </c>
      <c r="Q25" s="132">
        <f t="shared" si="0"/>
        <v>0.2203</v>
      </c>
      <c r="R25" s="138">
        <f>IF(COUNT($F25:H25)&gt;0,IF(Q25&lt;&gt;"",IF(Q25&lt;=P25,1,0),""),"")</f>
        <v>0</v>
      </c>
      <c r="S25" s="288">
        <f>IF(COUNT(R25:R26)=2,IF(SUM(R25:R26)&gt;=1,1,0),"")</f>
        <v>0</v>
      </c>
      <c r="T25" s="289">
        <f>IF(AND('Domínio 2'!D27&lt;&gt;"",S25&lt;&gt;""),'Domínio 2'!D27,"")</f>
        <v>227</v>
      </c>
      <c r="U25" s="287"/>
      <c r="V25" s="132">
        <f t="shared" si="6"/>
        <v>0.1807</v>
      </c>
      <c r="W25" s="132" t="str">
        <f>IF(V25&lt;&gt;"",IF(V25&gt;10%,"melhorar 5pp","manter abaixo de 10%"),"")</f>
        <v>melhorar 5pp</v>
      </c>
      <c r="X25" s="132">
        <f>IF(V25&lt;&gt;"",IF(V25&gt;10%,V25-5%,10%),"")</f>
        <v>0.13069999999999998</v>
      </c>
      <c r="Y25" s="132">
        <f t="shared" si="1"/>
        <v>1.6799999999999999E-2</v>
      </c>
      <c r="Z25" s="138">
        <f>IF(COUNT($F25:I25)&gt;0,IF(Y25&lt;&gt;"",IF(Y25&lt;=X25,1,0),""),"")</f>
        <v>1</v>
      </c>
      <c r="AA25" s="288">
        <f>IF(COUNT(Z25:Z26)=2,IF(SUM(Z25:Z26)&gt;=1,1,0),"")</f>
        <v>1</v>
      </c>
      <c r="AB25" s="289">
        <f>IF(AND('Domínio 2'!D28&lt;&gt;"",AA25&lt;&gt;""),'Domínio 2'!D28,"")</f>
        <v>238</v>
      </c>
      <c r="AC25" s="287"/>
      <c r="AD25" s="132">
        <f t="shared" si="7"/>
        <v>0.1479</v>
      </c>
      <c r="AE25" s="132" t="str">
        <f>IF(AD25&lt;&gt;"",IF(AD25&gt;10%,"melhorar 5pp","manter abaixo de 10%"),"")</f>
        <v>melhorar 5pp</v>
      </c>
      <c r="AF25" s="132">
        <f>IF(AD25&lt;&gt;"",IF(AD25&gt;10%,AD25-5%,10%),"")</f>
        <v>9.7900000000000001E-2</v>
      </c>
      <c r="AG25" s="132" t="str">
        <f t="shared" si="2"/>
        <v/>
      </c>
      <c r="AH25" s="138" t="str">
        <f>IF(COUNT($F25:J25)&gt;0,IF(AG25&lt;&gt;"",IF(AG25&lt;=AF25,1,0),""),"")</f>
        <v/>
      </c>
      <c r="AI25" s="288" t="str">
        <f>IF(COUNT(AH25:AH26)=2,IF(SUM(AH25:AH26)&gt;=1,1,0),"")</f>
        <v/>
      </c>
      <c r="AJ25" s="289" t="str">
        <f>IF(AND('Domínio 2'!D29&lt;&gt;"",AI25&lt;&gt;""),'Domínio 2'!D29,"")</f>
        <v/>
      </c>
      <c r="AK25" s="287"/>
      <c r="AL25" s="132">
        <f t="shared" si="8"/>
        <v>0.1396</v>
      </c>
      <c r="AM25" s="132" t="str">
        <f>IF(AL25&lt;&gt;"",IF(AL25&gt;10%,"melhorar 5pp","manter abaixo de 10%"),"")</f>
        <v>melhorar 5pp</v>
      </c>
      <c r="AN25" s="132">
        <f>IF(AL25&lt;&gt;"",IF(AL25&gt;10%,AL25-5%,10%),"")</f>
        <v>8.9599999999999999E-2</v>
      </c>
      <c r="AO25" s="132" t="str">
        <f t="shared" si="3"/>
        <v/>
      </c>
      <c r="AP25" s="138" t="str">
        <f>IF(COUNT($F25:K25)&gt;0,IF(AO25&lt;&gt;"",IF(AO25&lt;=AN25,1,0),""),"")</f>
        <v/>
      </c>
      <c r="AQ25" s="288" t="str">
        <f>IF(COUNT(AP25:AP26)=2,IF(SUM(AP25:AP26)&gt;=1,1,0),"")</f>
        <v/>
      </c>
      <c r="AR25" s="289" t="str">
        <f>IF(AND('Domínio 2'!D30&lt;&gt;"",AQ25&lt;&gt;""),'Domínio 2'!D30,"")</f>
        <v/>
      </c>
      <c r="AS25" s="287"/>
      <c r="AT25" s="132">
        <f t="shared" si="9"/>
        <v>0.13250000000000001</v>
      </c>
      <c r="AU25" s="132" t="str">
        <f>IF(AT25&lt;&gt;"",IF(AT25&gt;10%,"melhorar 5pp","manter abaixo de 10%"),"")</f>
        <v>melhorar 5pp</v>
      </c>
      <c r="AV25" s="132">
        <f>IF(AT25&lt;&gt;"",IF(AT25&gt;10%,AT25-5%,10%),"")</f>
        <v>8.2500000000000004E-2</v>
      </c>
      <c r="AW25" s="132" t="str">
        <f t="shared" si="4"/>
        <v/>
      </c>
      <c r="AX25" s="138" t="str">
        <f>IF(COUNT($F25:L25)&gt;0,IF(AW25&lt;&gt;"",IF(AW25&lt;=AV25,1,0),""),"")</f>
        <v/>
      </c>
      <c r="AY25" s="288" t="str">
        <f>IF(COUNT(AX25:AX26)=2,IF(SUM(AX25:AX26)&gt;=1,1,0),"")</f>
        <v/>
      </c>
      <c r="AZ25" s="289" t="str">
        <f>IF(AND('Domínio 2'!D31&lt;&gt;"",AY25&lt;&gt;""),'Domínio 2'!D31,"")</f>
        <v/>
      </c>
      <c r="BA25" s="287"/>
    </row>
    <row r="26" spans="2:53" s="134" customFormat="1" ht="24" customHeight="1" x14ac:dyDescent="0.2">
      <c r="B26" s="305"/>
      <c r="C26" s="299"/>
      <c r="D26" s="300" t="s">
        <v>5</v>
      </c>
      <c r="E26" s="300"/>
      <c r="F26" s="130">
        <f xml:space="preserve"> IF('Domínio 2'!I24&lt;&gt;"",'Domínio 2'!I24,"")</f>
        <v>0.47720000000000001</v>
      </c>
      <c r="G26" s="130">
        <f xml:space="preserve"> IF('Domínio 2'!I25&lt;&gt;"",'Domínio 2'!I25,"")</f>
        <v>0.3836</v>
      </c>
      <c r="H26" s="130">
        <f xml:space="preserve"> IF('Domínio 2'!I26&lt;&gt;"",'Domínio 2'!I26,"")</f>
        <v>0.42930000000000001</v>
      </c>
      <c r="I26" s="130">
        <f xml:space="preserve"> IF('Domínio 2'!I27&lt;&gt;"",'Domínio 2'!I27,"")</f>
        <v>0.43890000000000001</v>
      </c>
      <c r="J26" s="130">
        <f xml:space="preserve"> IF('Domínio 2'!I28&lt;&gt;"",'Domínio 2'!I28,"")</f>
        <v>0.53359999999999996</v>
      </c>
      <c r="K26" s="130" t="str">
        <f xml:space="preserve"> IF('Domínio 2'!I29&lt;&gt;"",'Domínio 2'!I29,"")</f>
        <v/>
      </c>
      <c r="L26" s="130" t="str">
        <f xml:space="preserve"> IF('Domínio 2'!I30&lt;&gt;"",'Domínio 2'!I30,"")</f>
        <v/>
      </c>
      <c r="M26" s="130" t="str">
        <f xml:space="preserve"> IF('Domínio 2'!I31&lt;&gt;"",'Domínio 2'!I31,"")</f>
        <v/>
      </c>
      <c r="N26" s="132">
        <f t="shared" si="5"/>
        <v>0.43</v>
      </c>
      <c r="O26" s="132" t="str">
        <f>IF(N26&lt;&gt;"",IF(N26&lt;90%,"melhorar 4pp","manter acima de 90%"),"")</f>
        <v>melhorar 4pp</v>
      </c>
      <c r="P26" s="132">
        <f>IF(N26&lt;&gt;"",IF(N26&lt;90%,N26+4%,90%),"")</f>
        <v>0.47</v>
      </c>
      <c r="Q26" s="132">
        <f t="shared" si="0"/>
        <v>0.43890000000000001</v>
      </c>
      <c r="R26" s="138">
        <f>IF(COUNT($F26:H26)&gt;0,IF(Q26&lt;&gt;"",IF(Q26&gt;=P26,1,0),""),"")</f>
        <v>0</v>
      </c>
      <c r="S26" s="288"/>
      <c r="T26" s="288"/>
      <c r="U26" s="287"/>
      <c r="V26" s="132">
        <f t="shared" si="6"/>
        <v>0.43230000000000002</v>
      </c>
      <c r="W26" s="132" t="str">
        <f>IF(V26&lt;&gt;"",IF(V26&lt;90%,"melhorar 4pp","manter acima de 90%"),"")</f>
        <v>melhorar 4pp</v>
      </c>
      <c r="X26" s="132">
        <f>IF(V26&lt;&gt;"",IF(V26&lt;90%,V26+4%,90%),"")</f>
        <v>0.4723</v>
      </c>
      <c r="Y26" s="132">
        <f t="shared" si="1"/>
        <v>0.53359999999999996</v>
      </c>
      <c r="Z26" s="138">
        <f>IF(COUNT($F26:I26)&gt;0,IF(Y26&lt;&gt;"",IF(Y26&gt;=X26,1,0),""),"")</f>
        <v>1</v>
      </c>
      <c r="AA26" s="288"/>
      <c r="AB26" s="288"/>
      <c r="AC26" s="287"/>
      <c r="AD26" s="132">
        <f t="shared" si="7"/>
        <v>0.45250000000000001</v>
      </c>
      <c r="AE26" s="132" t="str">
        <f>IF(AD26&lt;&gt;"",IF(AD26&lt;90%,"melhorar 4pp","manter acima de 90%"),"")</f>
        <v>melhorar 4pp</v>
      </c>
      <c r="AF26" s="132">
        <f>IF(AD26&lt;&gt;"",IF(AD26&lt;90%,AD26+4%,90%),"")</f>
        <v>0.49249999999999999</v>
      </c>
      <c r="AG26" s="132" t="str">
        <f t="shared" si="2"/>
        <v/>
      </c>
      <c r="AH26" s="138" t="str">
        <f>IF(COUNT($F26:J26)&gt;0,IF(AG26&lt;&gt;"",IF(AG26&gt;=AF26,1,0),""),"")</f>
        <v/>
      </c>
      <c r="AI26" s="288"/>
      <c r="AJ26" s="288"/>
      <c r="AK26" s="287"/>
      <c r="AL26" s="132">
        <f t="shared" si="8"/>
        <v>0.4592</v>
      </c>
      <c r="AM26" s="132" t="str">
        <f>IF(AL26&lt;&gt;"",IF(AL26&lt;90%,"melhorar 4pp","manter acima de 90%"),"")</f>
        <v>melhorar 4pp</v>
      </c>
      <c r="AN26" s="132">
        <f>IF(AL26&lt;&gt;"",IF(AL26&lt;90%,AL26+4%,90%),"")</f>
        <v>0.49919999999999998</v>
      </c>
      <c r="AO26" s="132" t="str">
        <f t="shared" si="3"/>
        <v/>
      </c>
      <c r="AP26" s="138" t="str">
        <f>IF(COUNT($F26:K26)&gt;0,IF(AO26&lt;&gt;"",IF(AO26&gt;=AN26,1,0),""),"")</f>
        <v/>
      </c>
      <c r="AQ26" s="288"/>
      <c r="AR26" s="288"/>
      <c r="AS26" s="287"/>
      <c r="AT26" s="132">
        <f t="shared" si="9"/>
        <v>0.46489999999999998</v>
      </c>
      <c r="AU26" s="132" t="str">
        <f>IF(AT26&lt;&gt;"",IF(AT26&lt;90%,"melhorar 4pp","manter acima de 90%"),"")</f>
        <v>melhorar 4pp</v>
      </c>
      <c r="AV26" s="132">
        <f>IF(AT26&lt;&gt;"",IF(AT26&lt;90%,AT26+4%,90%),"")</f>
        <v>0.50490000000000002</v>
      </c>
      <c r="AW26" s="132" t="str">
        <f t="shared" si="4"/>
        <v/>
      </c>
      <c r="AX26" s="138" t="str">
        <f>IF(COUNT($F26:L26)&gt;0,IF(AW26&lt;&gt;"",IF(AW26&gt;=AV26,1,0),""),"")</f>
        <v/>
      </c>
      <c r="AY26" s="288"/>
      <c r="AZ26" s="288"/>
      <c r="BA26" s="287"/>
    </row>
    <row r="27" spans="2:53" s="134" customFormat="1" ht="24" customHeight="1" x14ac:dyDescent="0.2">
      <c r="B27" s="307"/>
      <c r="C27" s="299" t="s">
        <v>19</v>
      </c>
      <c r="D27" s="300" t="s">
        <v>4</v>
      </c>
      <c r="E27" s="300"/>
      <c r="F27" s="130" t="str">
        <f xml:space="preserve"> IF('Domínio 2'!F33&lt;&gt;"",'Domínio 2'!F33,"")</f>
        <v/>
      </c>
      <c r="G27" s="130" t="str">
        <f xml:space="preserve"> IF('Domínio 2'!F34&lt;&gt;"",'Domínio 2'!F34,"")</f>
        <v/>
      </c>
      <c r="H27" s="130" t="str">
        <f xml:space="preserve"> IF('Domínio 2'!F35&lt;&gt;"",'Domínio 2'!F35,"")</f>
        <v/>
      </c>
      <c r="I27" s="130" t="str">
        <f xml:space="preserve"> IF('Domínio 2'!F36&lt;&gt;"",'Domínio 2'!F36,"")</f>
        <v/>
      </c>
      <c r="J27" s="130" t="str">
        <f xml:space="preserve"> IF('Domínio 2'!F37&lt;&gt;"",'Domínio 2'!F37,"")</f>
        <v/>
      </c>
      <c r="K27" s="130" t="str">
        <f xml:space="preserve"> IF('Domínio 2'!F38&lt;&gt;"",'Domínio 2'!F38,"")</f>
        <v/>
      </c>
      <c r="L27" s="130" t="str">
        <f xml:space="preserve"> IF('Domínio 2'!F39&lt;&gt;"",'Domínio 2'!F39,"")</f>
        <v/>
      </c>
      <c r="M27" s="130" t="str">
        <f xml:space="preserve"> IF('Domínio 2'!F40&lt;&gt;"",'Domínio 2'!F40,"")</f>
        <v/>
      </c>
      <c r="N27" s="132" t="str">
        <f t="shared" si="5"/>
        <v/>
      </c>
      <c r="O27" s="132" t="str">
        <f>IF(N27&lt;&gt;"",IF(N27&gt;10%,"melhorar 5pp","manter abaixo de 10%"),"")</f>
        <v/>
      </c>
      <c r="P27" s="132" t="str">
        <f>IF(N27&lt;&gt;"",IF(N27&gt;10%,N27-5%,10%),"")</f>
        <v/>
      </c>
      <c r="Q27" s="132" t="str">
        <f t="shared" si="0"/>
        <v/>
      </c>
      <c r="R27" s="138" t="str">
        <f>IF(COUNT($F27:H27)&gt;0,IF(Q27&lt;&gt;"",IF(Q27&lt;=P27,1,0),""),"")</f>
        <v/>
      </c>
      <c r="S27" s="288" t="str">
        <f>IF(COUNT(R27:R28)=2,IF(SUM(R27:R28)&gt;=1,1,0),"")</f>
        <v/>
      </c>
      <c r="T27" s="289" t="str">
        <f>IF(AND('Domínio 2'!D36&lt;&gt;"",S27&lt;&gt;""),'Domínio 2'!D36,"")</f>
        <v/>
      </c>
      <c r="U27" s="287"/>
      <c r="V27" s="132" t="str">
        <f t="shared" si="6"/>
        <v/>
      </c>
      <c r="W27" s="132" t="str">
        <f>IF(V27&lt;&gt;"",IF(V27&gt;10%,"melhorar 5pp","manter abaixo de 10%"),"")</f>
        <v/>
      </c>
      <c r="X27" s="132" t="str">
        <f>IF(V27&lt;&gt;"",IF(V27&gt;10%,V27-5%,10%),"")</f>
        <v/>
      </c>
      <c r="Y27" s="132" t="str">
        <f t="shared" si="1"/>
        <v/>
      </c>
      <c r="Z27" s="138" t="str">
        <f>IF(COUNT($F27:I27)&gt;0,IF(Y27&lt;&gt;"",IF(Y27&lt;=X27,1,0),""),"")</f>
        <v/>
      </c>
      <c r="AA27" s="288" t="str">
        <f>IF(COUNT(Z27:Z28)=2,IF(SUM(Z27:Z28)&gt;=1,1,0),"")</f>
        <v/>
      </c>
      <c r="AB27" s="289" t="str">
        <f>IF(AND('Domínio 2'!D37&lt;&gt;"",AA27&lt;&gt;""),'Domínio 2'!D37,"")</f>
        <v/>
      </c>
      <c r="AC27" s="287"/>
      <c r="AD27" s="132" t="str">
        <f t="shared" si="7"/>
        <v/>
      </c>
      <c r="AE27" s="132" t="str">
        <f>IF(AD27&lt;&gt;"",IF(AD27&gt;10%,"melhorar 5pp","manter abaixo de 10%"),"")</f>
        <v/>
      </c>
      <c r="AF27" s="132" t="str">
        <f>IF(AD27&lt;&gt;"",IF(AD27&gt;10%,AD27-5%,10%),"")</f>
        <v/>
      </c>
      <c r="AG27" s="132" t="str">
        <f t="shared" si="2"/>
        <v/>
      </c>
      <c r="AH27" s="138" t="str">
        <f>IF(COUNT($F27:J27)&gt;0,IF(AG27&lt;&gt;"",IF(AG27&lt;=AF27,1,0),""),"")</f>
        <v/>
      </c>
      <c r="AI27" s="288" t="str">
        <f>IF(COUNT(AH27:AH28)=2,IF(SUM(AH27:AH28)&gt;=1,1,0),"")</f>
        <v/>
      </c>
      <c r="AJ27" s="289" t="str">
        <f>IF(AND('Domínio 2'!D38&lt;&gt;"",AI27&lt;&gt;""),'Domínio 2'!D38,"")</f>
        <v/>
      </c>
      <c r="AK27" s="287"/>
      <c r="AL27" s="132" t="str">
        <f t="shared" si="8"/>
        <v/>
      </c>
      <c r="AM27" s="132" t="str">
        <f>IF(AL27&lt;&gt;"",IF(AL27&gt;10%,"melhorar 5pp","manter abaixo de 10%"),"")</f>
        <v/>
      </c>
      <c r="AN27" s="132" t="str">
        <f>IF(AL27&lt;&gt;"",IF(AL27&gt;10%,AL27-5%,10%),"")</f>
        <v/>
      </c>
      <c r="AO27" s="132" t="str">
        <f t="shared" si="3"/>
        <v/>
      </c>
      <c r="AP27" s="138" t="str">
        <f>IF(COUNT($F27:K27)&gt;0,IF(AO27&lt;&gt;"",IF(AO27&lt;=AN27,1,0),""),"")</f>
        <v/>
      </c>
      <c r="AQ27" s="288" t="str">
        <f>IF(COUNT(AP27:AP28)=2,IF(SUM(AP27:AP28)&gt;=1,1,0),"")</f>
        <v/>
      </c>
      <c r="AR27" s="289" t="str">
        <f>IF(AND('Domínio 2'!D39&lt;&gt;"",AQ27&lt;&gt;""),'Domínio 2'!D39,"")</f>
        <v/>
      </c>
      <c r="AS27" s="287"/>
      <c r="AT27" s="132" t="str">
        <f t="shared" si="9"/>
        <v/>
      </c>
      <c r="AU27" s="132" t="str">
        <f>IF(AT27&lt;&gt;"",IF(AT27&gt;10%,"melhorar 5pp","manter abaixo de 10%"),"")</f>
        <v/>
      </c>
      <c r="AV27" s="132" t="str">
        <f>IF(AT27&lt;&gt;"",IF(AT27&gt;10%,AT27-5%,10%),"")</f>
        <v/>
      </c>
      <c r="AW27" s="132" t="str">
        <f t="shared" si="4"/>
        <v/>
      </c>
      <c r="AX27" s="138" t="str">
        <f>IF(COUNT($F27:L27)&gt;0,IF(AW27&lt;&gt;"",IF(AW27&lt;=AV27,1,0),""),"")</f>
        <v/>
      </c>
      <c r="AY27" s="288" t="str">
        <f>IF(COUNT(AX27:AX28)=2,IF(SUM(AX27:AX28)&gt;=1,1,0),"")</f>
        <v/>
      </c>
      <c r="AZ27" s="289" t="str">
        <f>IF(AND('Domínio 2'!D40&lt;&gt;"",AY27&lt;&gt;""),'Domínio 2'!D40,"")</f>
        <v/>
      </c>
      <c r="BA27" s="287"/>
    </row>
    <row r="28" spans="2:53" s="134" customFormat="1" ht="24" customHeight="1" x14ac:dyDescent="0.2">
      <c r="B28" s="307"/>
      <c r="C28" s="299"/>
      <c r="D28" s="300" t="s">
        <v>5</v>
      </c>
      <c r="E28" s="300"/>
      <c r="F28" s="130" t="str">
        <f xml:space="preserve"> IF('Domínio 2'!I33&lt;&gt;"",'Domínio 2'!I33,"")</f>
        <v/>
      </c>
      <c r="G28" s="130" t="str">
        <f xml:space="preserve"> IF('Domínio 2'!I34&lt;&gt;"",'Domínio 2'!I34,"")</f>
        <v/>
      </c>
      <c r="H28" s="130" t="str">
        <f xml:space="preserve"> IF('Domínio 2'!I35&lt;&gt;"",'Domínio 2'!I35,"")</f>
        <v/>
      </c>
      <c r="I28" s="130" t="str">
        <f xml:space="preserve"> IF('Domínio 2'!I36&lt;&gt;"",'Domínio 2'!I36,"")</f>
        <v/>
      </c>
      <c r="J28" s="130" t="str">
        <f xml:space="preserve"> IF('Domínio 2'!I37&lt;&gt;"",'Domínio 2'!I37,"")</f>
        <v/>
      </c>
      <c r="K28" s="130" t="str">
        <f xml:space="preserve"> IF('Domínio 2'!I38&lt;&gt;"",'Domínio 2'!I38,"")</f>
        <v/>
      </c>
      <c r="L28" s="130" t="str">
        <f xml:space="preserve"> IF('Domínio 2'!I39&lt;&gt;"",'Domínio 2'!I39,"")</f>
        <v/>
      </c>
      <c r="M28" s="130" t="str">
        <f xml:space="preserve"> IF('Domínio 2'!I40&lt;&gt;"",'Domínio 2'!I40,"")</f>
        <v/>
      </c>
      <c r="N28" s="132" t="str">
        <f t="shared" si="5"/>
        <v/>
      </c>
      <c r="O28" s="132" t="str">
        <f>IF(N28&lt;&gt;"",IF(N28&lt;90%,"melhorar 4pp","manter acima de 90%"),"")</f>
        <v/>
      </c>
      <c r="P28" s="132" t="str">
        <f>IF(N28&lt;&gt;"",IF(N28&lt;90%,N28+4%,90%),"")</f>
        <v/>
      </c>
      <c r="Q28" s="132" t="str">
        <f t="shared" si="0"/>
        <v/>
      </c>
      <c r="R28" s="138" t="str">
        <f>IF(COUNT($F28:H28)&gt;0,IF(Q28&lt;&gt;"",IF(Q28&gt;=P28,1,0),""),"")</f>
        <v/>
      </c>
      <c r="S28" s="288"/>
      <c r="T28" s="288"/>
      <c r="U28" s="287"/>
      <c r="V28" s="132" t="str">
        <f t="shared" si="6"/>
        <v/>
      </c>
      <c r="W28" s="132" t="str">
        <f>IF(V28&lt;&gt;"",IF(V28&lt;90%,"melhorar 4pp","manter acima de 90%"),"")</f>
        <v/>
      </c>
      <c r="X28" s="132" t="str">
        <f>IF(V28&lt;&gt;"",IF(V28&lt;90%,V28+4%,90%),"")</f>
        <v/>
      </c>
      <c r="Y28" s="132" t="str">
        <f t="shared" si="1"/>
        <v/>
      </c>
      <c r="Z28" s="138" t="str">
        <f>IF(COUNT($F28:I28)&gt;0,IF(Y28&lt;&gt;"",IF(Y28&gt;=X28,1,0),""),"")</f>
        <v/>
      </c>
      <c r="AA28" s="288"/>
      <c r="AB28" s="288"/>
      <c r="AC28" s="287"/>
      <c r="AD28" s="132" t="str">
        <f t="shared" si="7"/>
        <v/>
      </c>
      <c r="AE28" s="132" t="str">
        <f>IF(AD28&lt;&gt;"",IF(AD28&lt;90%,"melhorar 4pp","manter acima de 90%"),"")</f>
        <v/>
      </c>
      <c r="AF28" s="132" t="str">
        <f>IF(AD28&lt;&gt;"",IF(AD28&lt;90%,AD28+4%,90%),"")</f>
        <v/>
      </c>
      <c r="AG28" s="132" t="str">
        <f t="shared" si="2"/>
        <v/>
      </c>
      <c r="AH28" s="138" t="str">
        <f>IF(COUNT($F28:J28)&gt;0,IF(AG28&lt;&gt;"",IF(AG28&gt;=AF28,1,0),""),"")</f>
        <v/>
      </c>
      <c r="AI28" s="288"/>
      <c r="AJ28" s="288"/>
      <c r="AK28" s="287"/>
      <c r="AL28" s="132" t="str">
        <f t="shared" si="8"/>
        <v/>
      </c>
      <c r="AM28" s="132" t="str">
        <f>IF(AL28&lt;&gt;"",IF(AL28&lt;90%,"melhorar 4pp","manter acima de 90%"),"")</f>
        <v/>
      </c>
      <c r="AN28" s="132" t="str">
        <f>IF(AL28&lt;&gt;"",IF(AL28&lt;90%,AL28+4%,90%),"")</f>
        <v/>
      </c>
      <c r="AO28" s="132" t="str">
        <f t="shared" si="3"/>
        <v/>
      </c>
      <c r="AP28" s="138" t="str">
        <f>IF(COUNT($F28:K28)&gt;0,IF(AO28&lt;&gt;"",IF(AO28&gt;=AN28,1,0),""),"")</f>
        <v/>
      </c>
      <c r="AQ28" s="288"/>
      <c r="AR28" s="288"/>
      <c r="AS28" s="287"/>
      <c r="AT28" s="132" t="str">
        <f t="shared" si="9"/>
        <v/>
      </c>
      <c r="AU28" s="132" t="str">
        <f>IF(AT28&lt;&gt;"",IF(AT28&lt;90%,"melhorar 4pp","manter acima de 90%"),"")</f>
        <v/>
      </c>
      <c r="AV28" s="132" t="str">
        <f>IF(AT28&lt;&gt;"",IF(AT28&lt;90%,AT28+4%,90%),"")</f>
        <v/>
      </c>
      <c r="AW28" s="132" t="str">
        <f t="shared" si="4"/>
        <v/>
      </c>
      <c r="AX28" s="138" t="str">
        <f>IF(COUNT($F28:L28)&gt;0,IF(AW28&lt;&gt;"",IF(AW28&gt;=AV28,1,0),""),"")</f>
        <v/>
      </c>
      <c r="AY28" s="288"/>
      <c r="AZ28" s="288"/>
      <c r="BA28" s="287"/>
    </row>
    <row r="29" spans="2:53" s="134" customFormat="1" ht="24" customHeight="1" x14ac:dyDescent="0.2">
      <c r="B29" s="305" t="s">
        <v>2</v>
      </c>
      <c r="C29" s="141" t="s">
        <v>36</v>
      </c>
      <c r="D29" s="300" t="s">
        <v>7</v>
      </c>
      <c r="E29" s="300"/>
      <c r="F29" s="130">
        <f xml:space="preserve"> IF('Domínio 3'!I7&lt;&gt;"",'Domínio 3'!I7,"")</f>
        <v>0</v>
      </c>
      <c r="G29" s="130">
        <f xml:space="preserve"> IF('Domínio 3'!I8&lt;&gt;"",'Domínio 3'!I8,"")</f>
        <v>0</v>
      </c>
      <c r="H29" s="130">
        <f xml:space="preserve"> IF('Domínio 3'!I9&lt;&gt;"",'Domínio 3'!I9,"")</f>
        <v>0</v>
      </c>
      <c r="I29" s="130">
        <f xml:space="preserve"> IF('Domínio 3'!I10&lt;&gt;"",'Domínio 3'!I10,"")</f>
        <v>7.1999999999999998E-3</v>
      </c>
      <c r="J29" s="130">
        <f xml:space="preserve"> IF('Domínio 3'!I11&lt;&gt;"",'Domínio 3'!I11,"")</f>
        <v>0</v>
      </c>
      <c r="K29" s="130" t="str">
        <f xml:space="preserve"> IF('Domínio 3'!I12&lt;&gt;"",'Domínio 3'!I12,"")</f>
        <v/>
      </c>
      <c r="L29" s="130" t="str">
        <f xml:space="preserve"> IF('Domínio 3'!I13&lt;&gt;"",'Domínio 3'!I13,"")</f>
        <v/>
      </c>
      <c r="M29" s="130" t="str">
        <f xml:space="preserve"> IF('Domínio 3'!I14&lt;&gt;"",'Domínio 3'!I14,"")</f>
        <v/>
      </c>
      <c r="N29" s="132">
        <f t="shared" si="5"/>
        <v>0</v>
      </c>
      <c r="O29" s="132" t="str">
        <f>IF(N29&lt;&gt;"",IF(N29&gt;0.8%,"melhorar 25%","manter abaixo de 0,8%"),"")</f>
        <v>manter abaixo de 0,8%</v>
      </c>
      <c r="P29" s="132">
        <f>IF(N29&lt;&gt;"",IF(N29&gt;0.8%,ROUND(N29*75%,4),0.8%),"")</f>
        <v>8.0000000000000002E-3</v>
      </c>
      <c r="Q29" s="132">
        <f>IF(I29&lt;&gt;"",I29,"")</f>
        <v>7.1999999999999998E-3</v>
      </c>
      <c r="R29" s="138">
        <f>IF(COUNT($F29:H29)&gt;0,IF(Q29&lt;&gt;"",IF(Q29&lt;=P29,1,0),""),"")</f>
        <v>1</v>
      </c>
      <c r="S29" s="142">
        <f>IF(R29&lt;&gt;"",R29,"")</f>
        <v>1</v>
      </c>
      <c r="T29" s="200">
        <f>IF(AND('Domínio 3'!D10&lt;&gt;"",S29&lt;&gt;""),'Domínio 3'!D10,"")</f>
        <v>138</v>
      </c>
      <c r="U29" s="287">
        <f>IF(AND(COUNT(S29:S31)=COUNT(T29:T31),COUNT(T29:T31)&gt;0),ROUND((IF(S29&lt;&gt;"",T29*S29,0)+IF(S30&lt;&gt;"",T30*S30,0)+IF(S31&lt;&gt;"",T31*S31,0))/SUM(T29:T31),2),"")</f>
        <v>1</v>
      </c>
      <c r="V29" s="132">
        <f t="shared" si="6"/>
        <v>1.8E-3</v>
      </c>
      <c r="W29" s="132" t="str">
        <f>IF(V29&lt;&gt;"",IF(V29&gt;0.8%,"melhorar 25%","manter abaixo de 0,8%"),"")</f>
        <v>manter abaixo de 0,8%</v>
      </c>
      <c r="X29" s="132">
        <f>IF(V29&lt;&gt;"",IF(V29&gt;0.8%,ROUND(V29*75%,4),0.8%),"")</f>
        <v>8.0000000000000002E-3</v>
      </c>
      <c r="Y29" s="132">
        <f t="shared" si="1"/>
        <v>0</v>
      </c>
      <c r="Z29" s="138">
        <f>IF(COUNT($F29:I29)&gt;0,IF(Y29&lt;&gt;"",IF(Y29&lt;=X29,1,0),""),"")</f>
        <v>1</v>
      </c>
      <c r="AA29" s="142">
        <f>IF(Z29&lt;&gt;"",Z29,"")</f>
        <v>1</v>
      </c>
      <c r="AB29" s="165">
        <f>IF(AND('Domínio 3'!D11&lt;&gt;"",AA29&lt;&gt;""),'Domínio 3'!D11,"")</f>
        <v>124</v>
      </c>
      <c r="AC29" s="287">
        <f>IF(AND(COUNT(AA29:AA31)=COUNT(AB29:AB31),COUNT(AB29:AB31)&gt;0),ROUND((IF(AA29&lt;&gt;"",AB29*AA29,0)+IF(AA30&lt;&gt;"",AB30*AA30,0)+IF(AA31&lt;&gt;"",AB31*AA31,0))/SUM(AB29:AB31),2),"")</f>
        <v>1</v>
      </c>
      <c r="AD29" s="132">
        <f t="shared" si="7"/>
        <v>1.4E-3</v>
      </c>
      <c r="AE29" s="132" t="str">
        <f>IF(AD29&lt;&gt;"",IF(AD29&gt;0.8%,"melhorar 25%","manter abaixo de 0,8%"),"")</f>
        <v>manter abaixo de 0,8%</v>
      </c>
      <c r="AF29" s="132">
        <f>IF(AD29&lt;&gt;"",IF(AD29&gt;0.8%,ROUND(AD29*75%,4),0.8%),"")</f>
        <v>8.0000000000000002E-3</v>
      </c>
      <c r="AG29" s="132" t="str">
        <f t="shared" si="2"/>
        <v/>
      </c>
      <c r="AH29" s="138" t="str">
        <f>IF(COUNT($F29:J29)&gt;0,IF(AG29&lt;&gt;"",IF(AG29&lt;=AF29,1,0),""),"")</f>
        <v/>
      </c>
      <c r="AI29" s="142" t="str">
        <f>IF(AH29&lt;&gt;"",AH29,"")</f>
        <v/>
      </c>
      <c r="AJ29" s="165" t="str">
        <f>IF(AND('Domínio 3'!D12&lt;&gt;"",AI29&lt;&gt;""),'Domínio 3'!D12,"")</f>
        <v/>
      </c>
      <c r="AK29" s="287" t="str">
        <f>IF(AND(COUNT(AI29:AI31)=COUNT(AJ29:AJ31),COUNT(AJ29:AJ31)&gt;0),ROUND((IF(AI29&lt;&gt;"",AJ29*AI29,0)+IF(AI30&lt;&gt;"",AJ30*AI30,0)+IF(AI31&lt;&gt;"",AJ31*AI31,0))/SUM(AJ29:AJ31),2),"")</f>
        <v/>
      </c>
      <c r="AL29" s="132">
        <f t="shared" si="8"/>
        <v>2.5000000000000001E-3</v>
      </c>
      <c r="AM29" s="132" t="str">
        <f>IF(AL29&lt;&gt;"",IF(AL29&gt;0.8%,"melhorar 25%","manter abaixo de 0,8%"),"")</f>
        <v>manter abaixo de 0,8%</v>
      </c>
      <c r="AN29" s="132">
        <f>IF(AL29&lt;&gt;"",IF(AL29&gt;0.8%,ROUND(AL29*75%,4),0.8%),"")</f>
        <v>8.0000000000000002E-3</v>
      </c>
      <c r="AO29" s="132" t="str">
        <f t="shared" si="3"/>
        <v/>
      </c>
      <c r="AP29" s="138" t="str">
        <f>IF(COUNT($F29:K29)&gt;0,IF(AO29&lt;&gt;"",IF(AO29&lt;=AN29,1,0),""),"")</f>
        <v/>
      </c>
      <c r="AQ29" s="142" t="str">
        <f>IF(AP29&lt;&gt;"",AP29,"")</f>
        <v/>
      </c>
      <c r="AR29" s="165" t="str">
        <f>IF(AND('Domínio 3'!D13&lt;&gt;"",AQ29&lt;&gt;""),'Domínio 3'!D13,"")</f>
        <v/>
      </c>
      <c r="AS29" s="287" t="str">
        <f>IF(AND(COUNT(AQ29:AQ31)=COUNT(AR29:AR31),COUNT(AR29:AR31)&gt;0),ROUND((IF(AQ29&lt;&gt;"",AR29*AQ29,0)+IF(AQ30&lt;&gt;"",AR30*AQ30,0)+IF(AQ31&lt;&gt;"",AR31*AQ31,0))/SUM(AR29:AR31),2),"")</f>
        <v/>
      </c>
      <c r="AT29" s="132">
        <f t="shared" si="9"/>
        <v>3.3E-3</v>
      </c>
      <c r="AU29" s="132" t="str">
        <f>IF(AT29&lt;&gt;"",IF(AT29&gt;0.8%,"melhorar 25%","manter abaixo de 0,8%"),"")</f>
        <v>manter abaixo de 0,8%</v>
      </c>
      <c r="AV29" s="132">
        <f>IF(AT29&lt;&gt;"",IF(AT29&gt;0.8%,ROUND(AT29*75%,4),0.8%),"")</f>
        <v>8.0000000000000002E-3</v>
      </c>
      <c r="AW29" s="132" t="str">
        <f t="shared" si="4"/>
        <v/>
      </c>
      <c r="AX29" s="138" t="str">
        <f>IF(COUNT($F29:L29)&gt;0,IF(AW29&lt;&gt;"",IF(AW29&lt;=AV29,1,0),""),"")</f>
        <v/>
      </c>
      <c r="AY29" s="142" t="str">
        <f>IF(AX29&lt;&gt;"",AX29,"")</f>
        <v/>
      </c>
      <c r="AZ29" s="165" t="str">
        <f>IF(AND('Domínio 3'!D14&lt;&gt;"",AY29&lt;&gt;""),'Domínio 3'!D14,"")</f>
        <v/>
      </c>
      <c r="BA29" s="287" t="str">
        <f>IF(AND(COUNT(AY29:AY31)=COUNT(AZ29:AZ31),COUNT(AZ29:AZ31)&gt;0),ROUND((IF(AY29&lt;&gt;"",AZ29*AY29,0)+IF(AY30&lt;&gt;"",AZ30*AY30,0)+IF(AY31&lt;&gt;"",AZ31*AY31,0))/SUM(AZ29:AZ31),2),"")</f>
        <v/>
      </c>
    </row>
    <row r="30" spans="2:53" s="134" customFormat="1" ht="24" customHeight="1" x14ac:dyDescent="0.2">
      <c r="B30" s="305"/>
      <c r="C30" s="141" t="s">
        <v>37</v>
      </c>
      <c r="D30" s="300"/>
      <c r="E30" s="300"/>
      <c r="F30" s="130">
        <f xml:space="preserve"> IF('Domínio 3'!I16&lt;&gt;"",'Domínio 3'!I16,"")</f>
        <v>3.8999999999999998E-3</v>
      </c>
      <c r="G30" s="130">
        <f xml:space="preserve"> IF('Domínio 3'!I17&lt;&gt;"",'Domínio 3'!I17,"")</f>
        <v>0</v>
      </c>
      <c r="H30" s="130">
        <f xml:space="preserve"> IF('Domínio 3'!I18&lt;&gt;"",'Domínio 3'!I18,"")</f>
        <v>0</v>
      </c>
      <c r="I30" s="130">
        <f xml:space="preserve"> IF('Domínio 3'!I19&lt;&gt;"",'Domínio 3'!I19,"")</f>
        <v>0</v>
      </c>
      <c r="J30" s="130">
        <f xml:space="preserve"> IF('Domínio 3'!I20&lt;&gt;"",'Domínio 3'!I20,"")</f>
        <v>0</v>
      </c>
      <c r="K30" s="130" t="str">
        <f xml:space="preserve"> IF('Domínio 3'!I21&lt;&gt;"",'Domínio 3'!I21,"")</f>
        <v/>
      </c>
      <c r="L30" s="130" t="str">
        <f xml:space="preserve"> IF('Domínio 3'!I22&lt;&gt;"",'Domínio 3'!I22,"")</f>
        <v/>
      </c>
      <c r="M30" s="130" t="str">
        <f xml:space="preserve"> IF('Domínio 3'!I23&lt;&gt;"",'Domínio 3'!I23,"")</f>
        <v/>
      </c>
      <c r="N30" s="132">
        <f t="shared" si="5"/>
        <v>1.2999999999999999E-3</v>
      </c>
      <c r="O30" s="132" t="str">
        <f>IF(N30&lt;&gt;"",IF(N30&gt;0.8%,"melhorar 25%","manter abaixo de 0,8%"),"")</f>
        <v>manter abaixo de 0,8%</v>
      </c>
      <c r="P30" s="132">
        <f>IF(N30&lt;&gt;"",IF(N30&gt;0.8%,ROUND(N30*75%,4),0.8%),"")</f>
        <v>8.0000000000000002E-3</v>
      </c>
      <c r="Q30" s="132">
        <f t="shared" si="0"/>
        <v>0</v>
      </c>
      <c r="R30" s="138">
        <f>IF(COUNT($F30:H30)&gt;0,IF(Q30&lt;&gt;"",IF(Q30&lt;=P30,1,0),""),"")</f>
        <v>1</v>
      </c>
      <c r="S30" s="142">
        <f>IF(R30&lt;&gt;"",R30,"")</f>
        <v>1</v>
      </c>
      <c r="T30" s="200">
        <f>IF(AND('Domínio 3'!D19&lt;&gt;"",S30&lt;&gt;""),'Domínio 3'!D19,"")</f>
        <v>248</v>
      </c>
      <c r="U30" s="287"/>
      <c r="V30" s="132">
        <f t="shared" si="6"/>
        <v>1E-3</v>
      </c>
      <c r="W30" s="132" t="str">
        <f>IF(V30&lt;&gt;"",IF(V30&gt;0.8%,"melhorar 25%","manter abaixo de 0,8%"),"")</f>
        <v>manter abaixo de 0,8%</v>
      </c>
      <c r="X30" s="132">
        <f>IF(V30&lt;&gt;"",IF(V30&gt;0.8%,ROUND(V30*75%,4),0.8%),"")</f>
        <v>8.0000000000000002E-3</v>
      </c>
      <c r="Y30" s="132">
        <f t="shared" si="1"/>
        <v>0</v>
      </c>
      <c r="Z30" s="138">
        <f>IF(COUNT($F30:I30)&gt;0,IF(Y30&lt;&gt;"",IF(Y30&lt;=X30,1,0),""),"")</f>
        <v>1</v>
      </c>
      <c r="AA30" s="142">
        <f>IF(Z30&lt;&gt;"",Z30,"")</f>
        <v>1</v>
      </c>
      <c r="AB30" s="164">
        <f>IF(AND('Domínio 3'!D20&lt;&gt;"",AA30&lt;&gt;""),'Domínio 3'!D20,"")</f>
        <v>238</v>
      </c>
      <c r="AC30" s="287"/>
      <c r="AD30" s="132">
        <f t="shared" si="7"/>
        <v>8.0000000000000004E-4</v>
      </c>
      <c r="AE30" s="132" t="str">
        <f>IF(AD30&lt;&gt;"",IF(AD30&gt;0.8%,"melhorar 25%","manter abaixo de 0,8%"),"")</f>
        <v>manter abaixo de 0,8%</v>
      </c>
      <c r="AF30" s="132">
        <f>IF(AD30&lt;&gt;"",IF(AD30&gt;0.8%,ROUND(AD30*75%,4),0.8%),"")</f>
        <v>8.0000000000000002E-3</v>
      </c>
      <c r="AG30" s="132" t="str">
        <f t="shared" si="2"/>
        <v/>
      </c>
      <c r="AH30" s="138" t="str">
        <f>IF(COUNT($F30:J30)&gt;0,IF(AG30&lt;&gt;"",IF(AG30&lt;=AF30,1,0),""),"")</f>
        <v/>
      </c>
      <c r="AI30" s="142" t="str">
        <f>IF(AH30&lt;&gt;"",AH30,"")</f>
        <v/>
      </c>
      <c r="AJ30" s="164" t="str">
        <f>IF(AND('Domínio 3'!D21&lt;&gt;"",AI30&lt;&gt;""),'Domínio 3'!D21,"")</f>
        <v/>
      </c>
      <c r="AK30" s="287"/>
      <c r="AL30" s="132">
        <f t="shared" si="8"/>
        <v>2E-3</v>
      </c>
      <c r="AM30" s="132" t="str">
        <f>IF(AL30&lt;&gt;"",IF(AL30&gt;0.8%,"melhorar 25%","manter abaixo de 0,8%"),"")</f>
        <v>manter abaixo de 0,8%</v>
      </c>
      <c r="AN30" s="132">
        <f>IF(AL30&lt;&gt;"",IF(AL30&gt;0.8%,ROUND(AL30*75%,4),0.8%),"")</f>
        <v>8.0000000000000002E-3</v>
      </c>
      <c r="AO30" s="132" t="str">
        <f t="shared" si="3"/>
        <v/>
      </c>
      <c r="AP30" s="138" t="str">
        <f>IF(COUNT($F30:K30)&gt;0,IF(AO30&lt;&gt;"",IF(AO30&lt;=AN30,1,0),""),"")</f>
        <v/>
      </c>
      <c r="AQ30" s="142" t="str">
        <f>IF(AP30&lt;&gt;"",AP30,"")</f>
        <v/>
      </c>
      <c r="AR30" s="164" t="str">
        <f>IF(AND('Domínio 3'!D22&lt;&gt;"",AQ30&lt;&gt;""),'Domínio 3'!D22,"")</f>
        <v/>
      </c>
      <c r="AS30" s="287"/>
      <c r="AT30" s="132">
        <f t="shared" si="9"/>
        <v>2.8E-3</v>
      </c>
      <c r="AU30" s="132" t="str">
        <f>IF(AT30&lt;&gt;"",IF(AT30&gt;0.8%,"melhorar 25%","manter abaixo de 0,8%"),"")</f>
        <v>manter abaixo de 0,8%</v>
      </c>
      <c r="AV30" s="132">
        <f>IF(AT30&lt;&gt;"",IF(AT30&gt;0.8%,ROUND(AT30*75%,4),0.8%),"")</f>
        <v>8.0000000000000002E-3</v>
      </c>
      <c r="AW30" s="132" t="str">
        <f t="shared" si="4"/>
        <v/>
      </c>
      <c r="AX30" s="138" t="str">
        <f>IF(COUNT($F30:L30)&gt;0,IF(AW30&lt;&gt;"",IF(AW30&lt;=AV30,1,0),""),"")</f>
        <v/>
      </c>
      <c r="AY30" s="142" t="str">
        <f>IF(AX30&lt;&gt;"",AX30,"")</f>
        <v/>
      </c>
      <c r="AZ30" s="164" t="str">
        <f>IF(AND('Domínio 3'!D23&lt;&gt;"",AY30&lt;&gt;""),'Domínio 3'!D23,"")</f>
        <v/>
      </c>
      <c r="BA30" s="287"/>
    </row>
    <row r="31" spans="2:53" s="134" customFormat="1" ht="24" customHeight="1" x14ac:dyDescent="0.2">
      <c r="B31" s="307"/>
      <c r="C31" s="143" t="s">
        <v>19</v>
      </c>
      <c r="D31" s="300"/>
      <c r="E31" s="300"/>
      <c r="F31" s="130" t="str">
        <f xml:space="preserve"> IF('Domínio 3'!I25&lt;&gt;"",'Domínio 3'!I25,"")</f>
        <v/>
      </c>
      <c r="G31" s="130" t="str">
        <f xml:space="preserve"> IF('Domínio 3'!I26&lt;&gt;"",'Domínio 3'!I26,"")</f>
        <v/>
      </c>
      <c r="H31" s="130" t="str">
        <f xml:space="preserve"> IF('Domínio 3'!I27&lt;&gt;"",'Domínio 3'!I27,"")</f>
        <v/>
      </c>
      <c r="I31" s="130" t="str">
        <f xml:space="preserve"> IF('Domínio 3'!I28&lt;&gt;"",'Domínio 3'!I28,"")</f>
        <v/>
      </c>
      <c r="J31" s="130" t="str">
        <f xml:space="preserve"> IF('Domínio 3'!I29&lt;&gt;"",'Domínio 3'!I29,"")</f>
        <v/>
      </c>
      <c r="K31" s="130" t="str">
        <f xml:space="preserve"> IF('Domínio 3'!I30&lt;&gt;"",'Domínio 3'!I30,"")</f>
        <v/>
      </c>
      <c r="L31" s="130" t="str">
        <f xml:space="preserve"> IF('Domínio 3'!I31&lt;&gt;"",'Domínio 3'!I31,"")</f>
        <v/>
      </c>
      <c r="M31" s="130" t="str">
        <f xml:space="preserve"> IF('Domínio 3'!I32&lt;&gt;"",'Domínio 3'!I32,"")</f>
        <v/>
      </c>
      <c r="N31" s="132" t="str">
        <f t="shared" si="5"/>
        <v/>
      </c>
      <c r="O31" s="132" t="str">
        <f>IF(N31&lt;&gt;"",IF(N31&gt;0.8%,"melhorar 25%","manter abaixo de 0,8%"),"")</f>
        <v/>
      </c>
      <c r="P31" s="132" t="str">
        <f>IF(N31&lt;&gt;"",IF(N31&gt;0.8%,ROUND(N31*75%,4),0.8%),"")</f>
        <v/>
      </c>
      <c r="Q31" s="132" t="str">
        <f t="shared" si="0"/>
        <v/>
      </c>
      <c r="R31" s="138" t="str">
        <f>IF(COUNT($F31:H31)&gt;0,IF(Q31&lt;&gt;"",IF(Q31&lt;=P31,1,0),""),"")</f>
        <v/>
      </c>
      <c r="S31" s="142" t="str">
        <f>IF(R31&lt;&gt;"",R31,"")</f>
        <v/>
      </c>
      <c r="T31" s="144" t="str">
        <f>IF(AND('Domínio 3'!D28&lt;&gt;"",S31&lt;&gt;""),'Domínio 3'!D28,"")</f>
        <v/>
      </c>
      <c r="U31" s="287"/>
      <c r="V31" s="132" t="str">
        <f t="shared" si="6"/>
        <v/>
      </c>
      <c r="W31" s="132" t="str">
        <f>IF(V31&lt;&gt;"",IF(V31&gt;0.8%,"melhorar 25%","manter abaixo de 0,8%"),"")</f>
        <v/>
      </c>
      <c r="X31" s="132" t="str">
        <f>IF(V31&lt;&gt;"",IF(V31&gt;0.8%,ROUND(V31*75%,4),0.8%),"")</f>
        <v/>
      </c>
      <c r="Y31" s="132" t="str">
        <f t="shared" si="1"/>
        <v/>
      </c>
      <c r="Z31" s="138" t="str">
        <f>IF(COUNT($F31:I31)&gt;0,IF(Y31&lt;&gt;"",IF(Y31&lt;=X31,1,0),""),"")</f>
        <v/>
      </c>
      <c r="AA31" s="142" t="str">
        <f>IF(Z31&lt;&gt;"",Z31,"")</f>
        <v/>
      </c>
      <c r="AB31" s="144" t="str">
        <f>IF(AND('Domínio 3'!D29&lt;&gt;"",AA31&lt;&gt;""),'Domínio 3'!D29,"")</f>
        <v/>
      </c>
      <c r="AC31" s="287"/>
      <c r="AD31" s="132" t="str">
        <f t="shared" si="7"/>
        <v/>
      </c>
      <c r="AE31" s="132" t="str">
        <f>IF(AD31&lt;&gt;"",IF(AD31&gt;0.8%,"melhorar 25%","manter abaixo de 0,8%"),"")</f>
        <v/>
      </c>
      <c r="AF31" s="132" t="str">
        <f>IF(AD31&lt;&gt;"",IF(AD31&gt;0.8%,ROUND(AD31*75%,4),0.8%),"")</f>
        <v/>
      </c>
      <c r="AG31" s="132" t="str">
        <f t="shared" si="2"/>
        <v/>
      </c>
      <c r="AH31" s="138" t="str">
        <f>IF(COUNT($F31:J31)&gt;0,IF(AG31&lt;&gt;"",IF(AG31&lt;=AF31,1,0),""),"")</f>
        <v/>
      </c>
      <c r="AI31" s="142" t="str">
        <f>IF(AH31&lt;&gt;"",AH31,"")</f>
        <v/>
      </c>
      <c r="AJ31" s="144" t="str">
        <f>IF(AND('Domínio 3'!D30&lt;&gt;"",AI31&lt;&gt;""),'Domínio 3'!D30,"")</f>
        <v/>
      </c>
      <c r="AK31" s="287"/>
      <c r="AL31" s="132" t="str">
        <f t="shared" si="8"/>
        <v/>
      </c>
      <c r="AM31" s="132" t="str">
        <f>IF(AL31&lt;&gt;"",IF(AL31&gt;0.8%,"melhorar 25%","manter abaixo de 0,8%"),"")</f>
        <v/>
      </c>
      <c r="AN31" s="132" t="str">
        <f>IF(AL31&lt;&gt;"",IF(AL31&gt;0.8%,ROUND(AL31*75%,4),0.8%),"")</f>
        <v/>
      </c>
      <c r="AO31" s="132" t="str">
        <f t="shared" si="3"/>
        <v/>
      </c>
      <c r="AP31" s="138" t="str">
        <f>IF(COUNT($F31:K31)&gt;0,IF(AO31&lt;&gt;"",IF(AO31&lt;=AN31,1,0),""),"")</f>
        <v/>
      </c>
      <c r="AQ31" s="142" t="str">
        <f>IF(AP31&lt;&gt;"",AP31,"")</f>
        <v/>
      </c>
      <c r="AR31" s="144" t="str">
        <f>IF(AND('Domínio 3'!D31&lt;&gt;"",AQ31&lt;&gt;""),'Domínio 3'!D31,"")</f>
        <v/>
      </c>
      <c r="AS31" s="287"/>
      <c r="AT31" s="132" t="str">
        <f t="shared" si="9"/>
        <v/>
      </c>
      <c r="AU31" s="132" t="str">
        <f>IF(AT31&lt;&gt;"",IF(AT31&gt;0.8%,"melhorar 25%","manter abaixo de 0,8%"),"")</f>
        <v/>
      </c>
      <c r="AV31" s="132" t="str">
        <f>IF(AT31&lt;&gt;"",IF(AT31&gt;0.8%,ROUND(AT31*75%,4),0.8%),"")</f>
        <v/>
      </c>
      <c r="AW31" s="132" t="str">
        <f t="shared" si="4"/>
        <v/>
      </c>
      <c r="AX31" s="138" t="str">
        <f>IF(COUNT($F31:L31)&gt;0,IF(AW31&lt;&gt;"",IF(AW31&lt;=AV31,1,0),""),"")</f>
        <v/>
      </c>
      <c r="AY31" s="142" t="str">
        <f>IF(AX31&lt;&gt;"",AX31,"")</f>
        <v/>
      </c>
      <c r="AZ31" s="144" t="str">
        <f>IF(AND('Domínio 3'!D32&lt;&gt;"",AY31&lt;&gt;""),'Domínio 3'!D32,"")</f>
        <v/>
      </c>
      <c r="BA31" s="287"/>
    </row>
    <row r="32" spans="2:53" s="134" customFormat="1" ht="24" customHeight="1" x14ac:dyDescent="0.2">
      <c r="B32" s="145" t="s">
        <v>3</v>
      </c>
      <c r="C32" s="301" t="s">
        <v>9</v>
      </c>
      <c r="D32" s="301"/>
      <c r="E32" s="301"/>
      <c r="F32" s="146">
        <f xml:space="preserve"> IF('Domínio 4'!H5&lt;&gt;"",'Domínio 4'!H5,"")</f>
        <v>0.02</v>
      </c>
      <c r="G32" s="146">
        <f xml:space="preserve"> IF('Domínio 4'!H6&lt;&gt;"",'Domínio 4'!H6,"")</f>
        <v>0.01</v>
      </c>
      <c r="H32" s="146">
        <f xml:space="preserve"> IF('Domínio 4'!H7&lt;&gt;"",'Domínio 4'!H7,"")</f>
        <v>0</v>
      </c>
      <c r="I32" s="146">
        <f xml:space="preserve"> IF('Domínio 4'!H8&lt;&gt;"",'Domínio 4'!H8,"")</f>
        <v>0.02</v>
      </c>
      <c r="J32" s="146" t="str">
        <f xml:space="preserve"> IF('Domínio 4'!H9&lt;&gt;"",'Domínio 4'!H9,"")</f>
        <v/>
      </c>
      <c r="K32" s="146" t="str">
        <f xml:space="preserve"> IF('Domínio 4'!H10&lt;&gt;"",'Domínio 4'!H10,"")</f>
        <v/>
      </c>
      <c r="L32" s="146" t="str">
        <f xml:space="preserve"> IF('Domínio 4'!H11&lt;&gt;"",'Domínio 4'!H11,"")</f>
        <v/>
      </c>
      <c r="M32" s="146" t="str">
        <f xml:space="preserve"> IF('Domínio 4'!H12&lt;&gt;"",'Domínio 4'!H12,"")</f>
        <v/>
      </c>
      <c r="N32" s="137">
        <f>IF(COUNT(F32:H32)&gt;0,ROUND(AVERAGE(F32:H32),2),"")</f>
        <v>0.01</v>
      </c>
      <c r="O32" s="132" t="str">
        <f>IF(N32&lt;&gt;"",IF(N32&gt;0.1,"melhorar 15%","manter abaixo de 0,10"),"")</f>
        <v>manter abaixo de 0,10</v>
      </c>
      <c r="P32" s="137">
        <f>IF(N32&lt;&gt;"",IF(N32&gt;0.1,ROUND(N32*85%,2),0.1),"")</f>
        <v>0.1</v>
      </c>
      <c r="Q32" s="137">
        <f t="shared" si="0"/>
        <v>0.02</v>
      </c>
      <c r="R32" s="138">
        <f>IF(COUNT($F32:H32)&gt;0,IF(Q32&lt;&gt;"",IF(Q32&lt;=P32,1,0),""),"")</f>
        <v>1</v>
      </c>
      <c r="S32" s="142">
        <f>IF(R32&lt;&gt;"",R32,"")</f>
        <v>1</v>
      </c>
      <c r="T32" s="142">
        <f>IF(AND('Domínio 4'!D8&lt;&gt;"",S32&lt;&gt;""),'Domínio 4'!D8,"")</f>
        <v>628</v>
      </c>
      <c r="U32" s="147">
        <f>IF(S32&lt;&gt;"",S32,"")</f>
        <v>1</v>
      </c>
      <c r="V32" s="137">
        <f>IF(COUNT(F32:I32)&gt;0,IF(I32&lt;&gt;"",ROUND(AVERAGE(F32:I32),2),ROUND(AVERAGE(F32:H32,P32),2)),"")</f>
        <v>0.01</v>
      </c>
      <c r="W32" s="132" t="str">
        <f>IF(V32&lt;&gt;"",IF(V32&gt;0.1,"melhorar 15%","manter abaixo de 0,10"),"")</f>
        <v>manter abaixo de 0,10</v>
      </c>
      <c r="X32" s="137">
        <f>IF(V32&lt;&gt;"",IF(V32&gt;0.1,ROUND(V32*85%,2),0.1),"")</f>
        <v>0.1</v>
      </c>
      <c r="Y32" s="137" t="str">
        <f t="shared" si="1"/>
        <v/>
      </c>
      <c r="Z32" s="138" t="str">
        <f>IF(COUNT($F32:I32)&gt;0,IF(Y32&lt;&gt;"",IF(Y32&lt;=X32,1,0),""),"")</f>
        <v/>
      </c>
      <c r="AA32" s="142" t="str">
        <f>IF(Z32&lt;&gt;"",Z32,"")</f>
        <v/>
      </c>
      <c r="AB32" s="142" t="str">
        <f>IF(AND('Domínio 4'!D9&lt;&gt;"",AA32&lt;&gt;""),'Domínio 4'!D9,"")</f>
        <v/>
      </c>
      <c r="AC32" s="147" t="str">
        <f>IF(AA32&lt;&gt;"",AA32,"")</f>
        <v/>
      </c>
      <c r="AD32" s="137">
        <f>IF(COUNT(F32:J32)&gt;0,IF(J32&lt;&gt;"",ROUND(AVERAGE(F32:J32),2),IF(I32&lt;&gt;"",ROUND(AVERAGE(F32:I32,X32),2),IF(COUNT(F32:H32)&gt;0,ROUND(AVERAGE(F32:H32,P32,X32),2),""))),"")</f>
        <v>0.03</v>
      </c>
      <c r="AE32" s="132" t="str">
        <f>IF(AD32&lt;&gt;"",IF(AD32&gt;0.1,"melhorar 15%","manter abaixo de 0,10"),"")</f>
        <v>manter abaixo de 0,10</v>
      </c>
      <c r="AF32" s="137">
        <f>IF(AD32&lt;&gt;"",IF(AD32&gt;0.1,ROUND(AD32*85%,2),0.1),"")</f>
        <v>0.1</v>
      </c>
      <c r="AG32" s="137" t="str">
        <f t="shared" si="2"/>
        <v/>
      </c>
      <c r="AH32" s="138" t="str">
        <f>IF(COUNT($F32:J32)&gt;0,IF(AG32&lt;&gt;"",IF(AG32&lt;=AF32,1,0),""),"")</f>
        <v/>
      </c>
      <c r="AI32" s="142" t="str">
        <f>IF(AH32&lt;&gt;"",AH32,"")</f>
        <v/>
      </c>
      <c r="AJ32" s="142" t="str">
        <f>IF(AND('Domínio 4'!D10&lt;&gt;"",AI32&lt;&gt;""),'Domínio 4'!D10,"")</f>
        <v/>
      </c>
      <c r="AK32" s="147" t="str">
        <f>IF(AI32&lt;&gt;"",AI32,"")</f>
        <v/>
      </c>
      <c r="AL32" s="137">
        <f>IF(COUNT(F32:K32)&gt;0,IF(K32&lt;&gt;"",ROUND(AVERAGE(F32:K32),2),IF(J32&lt;&gt;"",ROUND(AVERAGE(F32:J32,AF32),2),IF(I32&lt;&gt;"",ROUND(AVERAGE(F32:I32,X32,AF32),2),IF(COUNT(F32:H32)&gt;0,ROUND(AVERAGE(F32:H32,P32,X32,AF32),2),"")))),"")</f>
        <v>0.04</v>
      </c>
      <c r="AM32" s="132" t="str">
        <f>IF(AL32&lt;&gt;"",IF(AL32&gt;0.1,"melhorar 15%","manter abaixo de 0,10"),"")</f>
        <v>manter abaixo de 0,10</v>
      </c>
      <c r="AN32" s="137">
        <f>IF(AL32&lt;&gt;"",IF(AL32&gt;0.1,ROUND(AL32*85%,2),0.1),"")</f>
        <v>0.1</v>
      </c>
      <c r="AO32" s="137" t="str">
        <f t="shared" si="3"/>
        <v/>
      </c>
      <c r="AP32" s="138" t="str">
        <f>IF(COUNT($F32:K32)&gt;0,IF(AO32&lt;&gt;"",IF(AO32&lt;=AN32,1,0),""),"")</f>
        <v/>
      </c>
      <c r="AQ32" s="142" t="str">
        <f>IF(AP32&lt;&gt;"",AP32,"")</f>
        <v/>
      </c>
      <c r="AR32" s="142" t="str">
        <f>IF(AND('Domínio 4'!D11&lt;&gt;"",AQ32&lt;&gt;""),'Domínio 4'!D11,"")</f>
        <v/>
      </c>
      <c r="AS32" s="147" t="str">
        <f>IF(AQ32&lt;&gt;"",AQ32,"")</f>
        <v/>
      </c>
      <c r="AT32" s="137">
        <f>IF(COUNT(F32:L32)&gt;0,IF(L32&lt;&gt;"",ROUND(AVERAGE(F32:L32),2),IF(K32&lt;&gt;"",ROUND(AVERAGE(F32:K32,AN32),2),IF(J32&lt;&gt;"",ROUND(AVERAGE(F32:J32,AF32,AN32),2),IF(I32&lt;&gt;"",ROUND(AVERAGE(F32:I32,X32,AF32,AN32),2),IF(COUNT(F32:H32)&gt;0,ROUND(AVERAGE(F32:H32,P32,X32,AF32,AN32),2),""))))),"")</f>
        <v>0.05</v>
      </c>
      <c r="AU32" s="132" t="str">
        <f>IF(AT32&lt;&gt;"",IF(AT32&gt;0.1,"melhorar 15%","manter abaixo de 0,10"),"")</f>
        <v>manter abaixo de 0,10</v>
      </c>
      <c r="AV32" s="137">
        <f>IF(AT32&lt;&gt;"",IF(AT32&gt;0.1,ROUND(AT32*85%,2),0.1),"")</f>
        <v>0.1</v>
      </c>
      <c r="AW32" s="137" t="str">
        <f t="shared" si="4"/>
        <v/>
      </c>
      <c r="AX32" s="138" t="str">
        <f>IF(COUNT($F32:L32)&gt;0,IF(AW32&lt;&gt;"",IF(AW32&lt;=AV32,1,0),""),"")</f>
        <v/>
      </c>
      <c r="AY32" s="142" t="str">
        <f>IF(AX32&lt;&gt;"",AX32,"")</f>
        <v/>
      </c>
      <c r="AZ32" s="142" t="str">
        <f>IF(AND('Domínio 4'!D12&lt;&gt;"",AY32&lt;&gt;""),'Domínio 4'!D12,"")</f>
        <v/>
      </c>
      <c r="BA32" s="147" t="str">
        <f>IF(AY32&lt;&gt;"",AY32,"")</f>
        <v/>
      </c>
    </row>
    <row r="33" spans="2:53" s="134" customFormat="1" x14ac:dyDescent="0.2">
      <c r="B33" s="148"/>
      <c r="C33" s="149"/>
      <c r="D33" s="149"/>
      <c r="E33" s="149"/>
      <c r="F33" s="149"/>
      <c r="G33" s="149"/>
      <c r="H33" s="149"/>
      <c r="I33" s="149"/>
      <c r="J33" s="149"/>
      <c r="K33" s="149"/>
      <c r="L33" s="149"/>
      <c r="M33" s="149"/>
      <c r="N33" s="149"/>
      <c r="O33" s="149"/>
      <c r="P33" s="149"/>
      <c r="Q33" s="149"/>
      <c r="R33" s="150"/>
      <c r="S33" s="150"/>
      <c r="T33" s="150"/>
      <c r="U33" s="149"/>
      <c r="V33" s="149"/>
      <c r="W33" s="149"/>
      <c r="X33" s="149"/>
      <c r="Y33" s="149"/>
      <c r="Z33" s="149"/>
      <c r="AA33" s="149"/>
      <c r="AB33" s="150"/>
      <c r="AC33" s="149"/>
      <c r="AD33" s="149"/>
      <c r="AE33" s="149"/>
      <c r="AF33" s="149"/>
      <c r="AG33" s="149"/>
      <c r="AH33" s="149"/>
      <c r="AI33" s="149"/>
      <c r="AJ33" s="150"/>
      <c r="AK33" s="149"/>
      <c r="AL33" s="149"/>
      <c r="AM33" s="149"/>
      <c r="AN33" s="149"/>
      <c r="AO33" s="149"/>
      <c r="AP33" s="149"/>
      <c r="AQ33" s="149"/>
      <c r="AR33" s="150"/>
      <c r="AS33" s="149"/>
      <c r="AT33" s="151"/>
      <c r="AZ33" s="150"/>
      <c r="BA33" s="149"/>
    </row>
    <row r="34" spans="2:53" s="134" customFormat="1" ht="27.75" customHeight="1" x14ac:dyDescent="0.2">
      <c r="B34" s="308" t="s">
        <v>31</v>
      </c>
      <c r="C34" s="309"/>
      <c r="D34" s="309"/>
      <c r="E34" s="309"/>
      <c r="F34" s="309"/>
      <c r="G34" s="309"/>
      <c r="H34" s="309"/>
      <c r="I34" s="309"/>
      <c r="J34" s="309"/>
      <c r="K34" s="309"/>
      <c r="L34" s="309"/>
      <c r="M34" s="309"/>
      <c r="N34" s="310" t="str">
        <f>IF(COUNT(U5:U32)=4,"Em "&amp;N3&amp;" alcançaram "&amp;ROUND($BF$4*U5+$BG$4*U21+$BH$4*U29+$BI$4*U32,2)&amp;" pontos","")</f>
        <v>Em 2014-15 alcançaram 0,89 pontos</v>
      </c>
      <c r="O34" s="303"/>
      <c r="P34" s="303"/>
      <c r="Q34" s="303"/>
      <c r="R34" s="303"/>
      <c r="S34" s="303"/>
      <c r="T34" s="303"/>
      <c r="U34" s="303"/>
      <c r="V34" s="302" t="str">
        <f>IF(COUNT(AC5:AC32)=4,"Em "&amp;V3&amp;" alcançaram "&amp;ROUND($BF$4*AC5+$BG$4*AC21+$BH$4*AC29+$BI$4*AC32,2)&amp;" pontos","")</f>
        <v/>
      </c>
      <c r="W34" s="303"/>
      <c r="X34" s="303"/>
      <c r="Y34" s="303"/>
      <c r="Z34" s="303"/>
      <c r="AA34" s="303"/>
      <c r="AB34" s="303"/>
      <c r="AC34" s="303"/>
      <c r="AD34" s="302" t="str">
        <f>IF(COUNT(AK5:AK32)=4,"Em "&amp;AD3&amp;" alcançaram "&amp;ROUND($BF$4*AK5+$BG$4*AK21+$BH$4*AK29+$BI$4*AK32,2)&amp;" pontos","")</f>
        <v/>
      </c>
      <c r="AE34" s="303"/>
      <c r="AF34" s="303"/>
      <c r="AG34" s="303"/>
      <c r="AH34" s="303"/>
      <c r="AI34" s="303"/>
      <c r="AJ34" s="303"/>
      <c r="AK34" s="303"/>
      <c r="AL34" s="302" t="str">
        <f>IF(COUNT(AS5:AS32)=4,"Em "&amp;AL3&amp;" alcançaram "&amp;ROUND($BF$4*AS5+$BG$4*AS21+$BH$4*AS29+$BI$4*AS32,2)&amp;" pontos","")</f>
        <v/>
      </c>
      <c r="AM34" s="303"/>
      <c r="AN34" s="303"/>
      <c r="AO34" s="303"/>
      <c r="AP34" s="303"/>
      <c r="AQ34" s="303"/>
      <c r="AR34" s="303"/>
      <c r="AS34" s="303"/>
      <c r="AT34" s="302" t="str">
        <f>IF(COUNT(BA5:BA32)=4,"Em "&amp;AT3&amp;" alcançaram "&amp;ROUND($BF$4*BA5+$BG$4*BA21+$BH$4*BA29+$BI$4*BA32,2)&amp;" pontos","")</f>
        <v/>
      </c>
      <c r="AU34" s="303"/>
      <c r="AV34" s="303"/>
      <c r="AW34" s="303"/>
      <c r="AX34" s="303"/>
      <c r="AY34" s="303"/>
      <c r="AZ34" s="303"/>
      <c r="BA34" s="303"/>
    </row>
    <row r="35" spans="2:53" x14ac:dyDescent="0.2">
      <c r="C35" s="4"/>
      <c r="D35" s="4"/>
      <c r="E35" s="4"/>
      <c r="F35" s="4"/>
      <c r="G35" s="4"/>
      <c r="H35" s="4"/>
      <c r="I35" s="4"/>
      <c r="J35" s="4"/>
      <c r="K35" s="4"/>
      <c r="L35" s="4"/>
      <c r="M35" s="4"/>
      <c r="N35" s="4"/>
      <c r="O35" s="4"/>
      <c r="P35" s="4"/>
      <c r="Q35" s="4"/>
      <c r="R35" s="10"/>
      <c r="S35" s="10"/>
      <c r="T35" s="10"/>
      <c r="U35" s="4"/>
      <c r="V35" s="4"/>
      <c r="W35" s="4"/>
      <c r="X35" s="4"/>
      <c r="Y35" s="4"/>
      <c r="Z35" s="4"/>
      <c r="AA35" s="4"/>
      <c r="AB35" s="10"/>
      <c r="AC35" s="4"/>
      <c r="AD35" s="4"/>
      <c r="AE35" s="4"/>
      <c r="AF35" s="4"/>
      <c r="AG35" s="4"/>
      <c r="AH35" s="4"/>
      <c r="AI35" s="4"/>
      <c r="AJ35" s="10"/>
      <c r="AK35" s="4"/>
      <c r="AL35" s="4"/>
      <c r="AM35" s="4"/>
      <c r="AN35" s="4"/>
      <c r="AO35" s="4"/>
      <c r="AP35" s="4"/>
      <c r="AQ35" s="4"/>
      <c r="AR35" s="10"/>
      <c r="AS35" s="4"/>
      <c r="AT35" s="3"/>
      <c r="AZ35" s="10"/>
    </row>
    <row r="36" spans="2:53" ht="24.75" hidden="1" customHeight="1" x14ac:dyDescent="0.2">
      <c r="B36" s="4"/>
      <c r="C36" s="4"/>
      <c r="D36" s="4"/>
      <c r="E36" s="4"/>
      <c r="F36" s="4"/>
      <c r="G36" s="4"/>
      <c r="H36" s="4"/>
      <c r="I36" s="4"/>
      <c r="J36" s="4"/>
      <c r="K36" s="4"/>
      <c r="L36" s="4"/>
      <c r="M36" s="4"/>
      <c r="N36" s="4">
        <f>IF(COUNT(U5:U32)=4,ROUND($BF$4*U5+$BG$4*U21+$BH$4*U29+$BI$4*U32,2),"")</f>
        <v>0.89</v>
      </c>
      <c r="O36" s="220">
        <f>IF(COUNT(U5:U32)=4,ROUND(AVERAGE(U5:U32),2),"")</f>
        <v>0.91</v>
      </c>
      <c r="Q36" s="4"/>
      <c r="R36" s="10"/>
      <c r="S36" s="10"/>
      <c r="T36" s="10"/>
      <c r="U36" s="4"/>
      <c r="V36" s="4"/>
      <c r="W36" s="4"/>
      <c r="X36" s="4"/>
      <c r="Y36" s="4"/>
      <c r="Z36" s="4"/>
      <c r="AA36" s="4"/>
      <c r="AB36" s="10"/>
      <c r="AC36" s="4"/>
      <c r="AD36" s="4"/>
      <c r="AE36" s="4"/>
      <c r="AF36" s="4"/>
      <c r="AG36" s="4"/>
      <c r="AH36" s="4"/>
      <c r="AI36" s="4"/>
      <c r="AJ36" s="10"/>
      <c r="AK36" s="4"/>
      <c r="AL36" s="4"/>
      <c r="AM36" s="4"/>
      <c r="AN36" s="4"/>
      <c r="AO36" s="4"/>
      <c r="AP36" s="4"/>
      <c r="AQ36" s="4"/>
      <c r="AR36" s="10"/>
      <c r="AS36" s="4"/>
      <c r="AT36" s="3"/>
      <c r="AZ36" s="10"/>
    </row>
    <row r="37" spans="2:53" ht="25.5" hidden="1" x14ac:dyDescent="0.2">
      <c r="B37" s="4"/>
      <c r="C37" s="4"/>
      <c r="D37" s="4"/>
      <c r="E37" s="4"/>
      <c r="F37" s="4"/>
      <c r="G37" s="4"/>
      <c r="H37" s="4"/>
      <c r="I37" s="4"/>
      <c r="J37" s="4"/>
      <c r="K37" s="4"/>
      <c r="L37" s="4"/>
      <c r="M37" s="4"/>
      <c r="N37" s="223" t="s">
        <v>139</v>
      </c>
      <c r="O37" s="4" t="s">
        <v>138</v>
      </c>
      <c r="P37" s="4"/>
      <c r="Q37" s="4"/>
      <c r="R37" s="10"/>
      <c r="S37" s="10"/>
      <c r="T37" s="10"/>
      <c r="U37" s="4"/>
      <c r="V37" s="224"/>
      <c r="W37" s="4"/>
      <c r="X37" s="4"/>
      <c r="Y37" s="4"/>
      <c r="Z37" s="4"/>
      <c r="AA37" s="4"/>
      <c r="AB37" s="10"/>
      <c r="AC37" s="4"/>
      <c r="AD37" s="224"/>
      <c r="AE37" s="4"/>
      <c r="AF37" s="4"/>
      <c r="AG37" s="4"/>
      <c r="AH37" s="4"/>
      <c r="AI37" s="4"/>
      <c r="AJ37" s="10"/>
      <c r="AK37" s="4"/>
      <c r="AL37" s="4"/>
      <c r="AM37" s="4"/>
      <c r="AN37" s="4"/>
      <c r="AO37" s="4"/>
      <c r="AP37" s="4"/>
      <c r="AQ37" s="4"/>
      <c r="AR37" s="10"/>
      <c r="AS37" s="4"/>
      <c r="AT37" s="3"/>
      <c r="AZ37" s="10"/>
    </row>
    <row r="38" spans="2:53" x14ac:dyDescent="0.2">
      <c r="B38" s="4"/>
      <c r="C38" s="4"/>
      <c r="D38" s="4"/>
      <c r="E38" s="4"/>
      <c r="F38" s="4"/>
      <c r="G38" s="4"/>
      <c r="H38" s="4"/>
      <c r="I38" s="4"/>
      <c r="K38" s="4"/>
      <c r="L38" s="4"/>
      <c r="M38" s="4"/>
      <c r="N38" s="4"/>
      <c r="O38" s="4"/>
      <c r="P38" s="4"/>
      <c r="Q38" s="4"/>
      <c r="R38" s="10"/>
      <c r="S38" s="10"/>
      <c r="T38" s="10"/>
      <c r="U38" s="4"/>
      <c r="V38" s="4"/>
      <c r="W38" s="4"/>
      <c r="X38" s="4"/>
      <c r="Y38" s="4"/>
      <c r="Z38" s="4"/>
      <c r="AA38" s="4"/>
      <c r="AB38" s="10"/>
      <c r="AC38" s="4"/>
      <c r="AD38" s="4"/>
      <c r="AE38" s="4"/>
      <c r="AF38" s="4"/>
      <c r="AG38" s="4"/>
      <c r="AH38" s="4"/>
      <c r="AI38" s="4"/>
      <c r="AJ38" s="10"/>
      <c r="AK38" s="4"/>
      <c r="AL38" s="4"/>
      <c r="AM38" s="4"/>
      <c r="AN38" s="4"/>
      <c r="AO38" s="4"/>
      <c r="AP38" s="4"/>
      <c r="AQ38" s="4"/>
      <c r="AR38" s="10"/>
      <c r="AS38" s="4"/>
      <c r="AT38" s="3"/>
      <c r="AZ38" s="10"/>
    </row>
    <row r="39" spans="2:53" x14ac:dyDescent="0.2">
      <c r="E39"/>
      <c r="F39"/>
      <c r="G39"/>
      <c r="H39"/>
      <c r="I39"/>
      <c r="J39"/>
      <c r="K39"/>
      <c r="L39"/>
      <c r="M39"/>
    </row>
    <row r="40" spans="2:53" x14ac:dyDescent="0.2">
      <c r="E40"/>
    </row>
    <row r="41" spans="2:53" x14ac:dyDescent="0.2">
      <c r="E41"/>
    </row>
    <row r="42" spans="2:53" x14ac:dyDescent="0.2">
      <c r="E42"/>
    </row>
  </sheetData>
  <sheetProtection password="DC9F" sheet="1" objects="1" scenarios="1"/>
  <mergeCells count="181">
    <mergeCell ref="AZ21:AZ22"/>
    <mergeCell ref="AZ23:AZ24"/>
    <mergeCell ref="AZ25:AZ26"/>
    <mergeCell ref="AZ27:AZ28"/>
    <mergeCell ref="AC5:AC20"/>
    <mergeCell ref="AK5:AK20"/>
    <mergeCell ref="AS5:AS20"/>
    <mergeCell ref="AR11:AR12"/>
    <mergeCell ref="AR13:AR14"/>
    <mergeCell ref="AY15:AY16"/>
    <mergeCell ref="AQ17:AQ18"/>
    <mergeCell ref="AQ19:AQ20"/>
    <mergeCell ref="AJ17:AJ18"/>
    <mergeCell ref="AY17:AY18"/>
    <mergeCell ref="AY19:AY20"/>
    <mergeCell ref="AQ15:AQ16"/>
    <mergeCell ref="AR17:AR18"/>
    <mergeCell ref="AR19:AR20"/>
    <mergeCell ref="AR15:AR16"/>
    <mergeCell ref="AZ5:AZ6"/>
    <mergeCell ref="AZ7:AZ8"/>
    <mergeCell ref="AI5:AI6"/>
    <mergeCell ref="AI7:AI8"/>
    <mergeCell ref="AI9:AI10"/>
    <mergeCell ref="AZ9:AZ10"/>
    <mergeCell ref="AZ11:AZ12"/>
    <mergeCell ref="AZ13:AZ14"/>
    <mergeCell ref="AR5:AR6"/>
    <mergeCell ref="AR7:AR8"/>
    <mergeCell ref="AY5:AY6"/>
    <mergeCell ref="AY7:AY8"/>
    <mergeCell ref="AY9:AY10"/>
    <mergeCell ref="AJ19:AJ20"/>
    <mergeCell ref="AJ9:AJ10"/>
    <mergeCell ref="AJ11:AJ12"/>
    <mergeCell ref="AJ13:AJ14"/>
    <mergeCell ref="AZ15:AZ16"/>
    <mergeCell ref="AZ17:AZ18"/>
    <mergeCell ref="AZ19:AZ20"/>
    <mergeCell ref="AY11:AY12"/>
    <mergeCell ref="AY13:AY14"/>
    <mergeCell ref="AQ5:AQ6"/>
    <mergeCell ref="AQ7:AQ8"/>
    <mergeCell ref="AQ9:AQ10"/>
    <mergeCell ref="AQ11:AQ12"/>
    <mergeCell ref="AQ13:AQ14"/>
    <mergeCell ref="AR9:AR10"/>
    <mergeCell ref="AJ21:AJ22"/>
    <mergeCell ref="AR21:AR22"/>
    <mergeCell ref="AJ23:AJ24"/>
    <mergeCell ref="AJ25:AJ26"/>
    <mergeCell ref="AJ27:AJ28"/>
    <mergeCell ref="AQ23:AQ24"/>
    <mergeCell ref="AQ25:AQ26"/>
    <mergeCell ref="AQ27:AQ28"/>
    <mergeCell ref="B34:M34"/>
    <mergeCell ref="N34:U34"/>
    <mergeCell ref="V34:AC34"/>
    <mergeCell ref="AD34:AK34"/>
    <mergeCell ref="AL34:AS34"/>
    <mergeCell ref="D24:E24"/>
    <mergeCell ref="D25:E25"/>
    <mergeCell ref="D26:E26"/>
    <mergeCell ref="D27:E27"/>
    <mergeCell ref="C23:C24"/>
    <mergeCell ref="D29:E31"/>
    <mergeCell ref="U29:U31"/>
    <mergeCell ref="AT34:BA34"/>
    <mergeCell ref="C13:C16"/>
    <mergeCell ref="D13:D14"/>
    <mergeCell ref="D15:D16"/>
    <mergeCell ref="B5:B20"/>
    <mergeCell ref="C5:C8"/>
    <mergeCell ref="S15:S16"/>
    <mergeCell ref="C32:E32"/>
    <mergeCell ref="S9:S10"/>
    <mergeCell ref="S11:S12"/>
    <mergeCell ref="C21:C22"/>
    <mergeCell ref="D9:D10"/>
    <mergeCell ref="D11:D12"/>
    <mergeCell ref="D17:D18"/>
    <mergeCell ref="C25:C26"/>
    <mergeCell ref="S13:S14"/>
    <mergeCell ref="T27:T28"/>
    <mergeCell ref="D5:D6"/>
    <mergeCell ref="S25:S26"/>
    <mergeCell ref="B21:B28"/>
    <mergeCell ref="B29:B31"/>
    <mergeCell ref="D21:E21"/>
    <mergeCell ref="D22:E22"/>
    <mergeCell ref="D23:E23"/>
    <mergeCell ref="AT2:AU2"/>
    <mergeCell ref="C27:C28"/>
    <mergeCell ref="D28:E28"/>
    <mergeCell ref="S17:S18"/>
    <mergeCell ref="S19:S20"/>
    <mergeCell ref="S21:S22"/>
    <mergeCell ref="S23:S24"/>
    <mergeCell ref="C17:C20"/>
    <mergeCell ref="D7:D8"/>
    <mergeCell ref="D19:D20"/>
    <mergeCell ref="C9:C12"/>
    <mergeCell ref="AL2:AM2"/>
    <mergeCell ref="S27:S28"/>
    <mergeCell ref="T5:T6"/>
    <mergeCell ref="T7:T8"/>
    <mergeCell ref="T9:T10"/>
    <mergeCell ref="T11:T12"/>
    <mergeCell ref="T13:T14"/>
    <mergeCell ref="AJ15:AJ16"/>
    <mergeCell ref="T17:T18"/>
    <mergeCell ref="T19:T20"/>
    <mergeCell ref="T21:T22"/>
    <mergeCell ref="T23:T24"/>
    <mergeCell ref="T25:T26"/>
    <mergeCell ref="C4:E4"/>
    <mergeCell ref="AT3:BA3"/>
    <mergeCell ref="AL3:AS3"/>
    <mergeCell ref="AD3:AK3"/>
    <mergeCell ref="V3:AC3"/>
    <mergeCell ref="N3:U3"/>
    <mergeCell ref="F3:M3"/>
    <mergeCell ref="S5:S6"/>
    <mergeCell ref="S7:S8"/>
    <mergeCell ref="AJ5:AJ6"/>
    <mergeCell ref="AJ7:AJ8"/>
    <mergeCell ref="BA5:BA20"/>
    <mergeCell ref="AA5:AA6"/>
    <mergeCell ref="AA7:AA8"/>
    <mergeCell ref="AA9:AA10"/>
    <mergeCell ref="AA11:AA12"/>
    <mergeCell ref="AA13:AA14"/>
    <mergeCell ref="AA15:AA16"/>
    <mergeCell ref="AA17:AA18"/>
    <mergeCell ref="AA19:AA20"/>
    <mergeCell ref="AI11:AI12"/>
    <mergeCell ref="AI13:AI14"/>
    <mergeCell ref="AI15:AI16"/>
    <mergeCell ref="AI17:AI18"/>
    <mergeCell ref="T15:T16"/>
    <mergeCell ref="U5:U20"/>
    <mergeCell ref="U21:U28"/>
    <mergeCell ref="AA25:AA26"/>
    <mergeCell ref="AB19:AB20"/>
    <mergeCell ref="AB23:AB24"/>
    <mergeCell ref="AB25:AB26"/>
    <mergeCell ref="AB27:AB28"/>
    <mergeCell ref="AI19:AI20"/>
    <mergeCell ref="AB5:AB6"/>
    <mergeCell ref="AB7:AB8"/>
    <mergeCell ref="AB9:AB10"/>
    <mergeCell ref="AB11:AB12"/>
    <mergeCell ref="AB13:AB14"/>
    <mergeCell ref="AB15:AB16"/>
    <mergeCell ref="AB17:AB18"/>
    <mergeCell ref="AA21:AA22"/>
    <mergeCell ref="AA23:AA24"/>
    <mergeCell ref="B1:BA1"/>
    <mergeCell ref="B3:E3"/>
    <mergeCell ref="AK21:AK28"/>
    <mergeCell ref="AS21:AS28"/>
    <mergeCell ref="BA21:BA28"/>
    <mergeCell ref="AC29:AC31"/>
    <mergeCell ref="AK29:AK31"/>
    <mergeCell ref="AS29:AS31"/>
    <mergeCell ref="BA29:BA31"/>
    <mergeCell ref="AQ21:AQ22"/>
    <mergeCell ref="AY21:AY22"/>
    <mergeCell ref="AY23:AY24"/>
    <mergeCell ref="AY25:AY26"/>
    <mergeCell ref="AY27:AY28"/>
    <mergeCell ref="AR27:AR28"/>
    <mergeCell ref="AR23:AR24"/>
    <mergeCell ref="AR25:AR26"/>
    <mergeCell ref="AA27:AA28"/>
    <mergeCell ref="AI21:AI22"/>
    <mergeCell ref="AI23:AI24"/>
    <mergeCell ref="AI25:AI26"/>
    <mergeCell ref="AI27:AI28"/>
    <mergeCell ref="AC21:AC28"/>
    <mergeCell ref="AB21:AB22"/>
  </mergeCells>
  <dataValidations count="2">
    <dataValidation operator="greaterThan" allowBlank="1" showInputMessage="1" showErrorMessage="1" sqref="AZ21:AZ31 AJ21:AJ31 AR21:AR31 T5:T31 AB5:AB31"/>
    <dataValidation allowBlank="1" showInputMessage="1" showErrorMessage="1" sqref="AR5:AR20 AZ5:AZ20"/>
  </dataValidations>
  <hyperlinks>
    <hyperlink ref="B2" location="Início!A1" display="Início"/>
  </hyperlinks>
  <pageMargins left="0.7" right="0.7" top="0.75" bottom="0.75" header="0.3" footer="0.3"/>
  <pageSetup paperSize="9" scale="54" fitToHeight="0" orientation="portrait" r:id="rId1"/>
  <ignoredErrors>
    <ignoredError sqref="S21:S22 S6 S23:S28 AA21:AA22 S7:S20 AA23:AA28 AI21:AI22 AI23:AI28 U22 U23:U28 R5:S5" formulaRange="1"/>
    <ignoredError sqref="O21:R22 O23:R28 O6:R17 R30:R31 R29 R32 W23:Z28 W21:Z22 AE23:AH28 AE21:AH22 O19:R20 O18 Q18:R18" formula="1" formulaRange="1"/>
    <ignoredError sqref="O32 O30:O31 O29 W30:W32 AE29:AE32 AM21:AP28 AU21:AX28 N6:N22 V21:V24 AT21:AT25 AD21:AD24 Q29 Q30:Q31 Q32 W29 Y29:Z29 Y30:Z32 AG29:AH32 AM29:AM32 AO29:AP32 AU29:AU32 AW29:AX32" formula="1"/>
    <ignoredError sqref="AH5:AI5 Z5:AA5 AE5:AF5 W5:X5 Y6:AA6 U7:U20 U6 AI7:AI20 AI6 AA7:AA20" formulaRange="1" unlockedFormula="1"/>
    <ignoredError sqref="W6:X6 AE6:AH6 AE7:AH20 W7:Z20" formula="1" formulaRange="1" unlockedFormula="1"/>
    <ignoredError sqref="AD20 AD6 AD7:AD19 AT6:AT20 AL6:AL20 V6:V20 AU6:AX20 AM6:AP6 AM17:AN17 AM18:AN18 AM15:AN15 AM16:AN16 AM13:AN13 AM14:AN14 AM11:AN11 AM12:AN12 AM9:AN9 AM10:AN10 AM7:AN7 AM8:AN8 AM19:AN19" formula="1" unlockedFormula="1"/>
    <ignoredError sqref="V5 AC20 AK6 AK8 AC6 Y5 AG5 AC5:AD5 AK5:AQ5 AQ6 AY8 AY6:BA6 AO8:AQ8 AC8 AC7 AC10 AC9 AC12 AC11 AC14 AC13 AC16 AC15 AC18 AC17 AC19 AK7 AK10 AK9 AK12 AK11 AK14 AK13 AK16 AK15 AK18 AK17 AK20 AK19 AS5:AY5 AO7:AQ7 AS7 AO10:AQ10 AO9:AQ9 AS9 AO12:AQ12 AO11:AQ11 AS11 AO14:AQ14 AO13:AQ13 AS13 AO16:AQ16 AO15:AQ15 AS15 AO18:AQ18 AO17:AQ17 AS17 AM20:AQ20 AO19:AQ19 AS19 BA5 AY7 BA7 AY10 AY9 BA9 AY12 AY11 BA11 AY14 AY13 BA13 AY16 AY15 BA15 AY18 AY17 BA17 AY20 AY19 BA19 AS6 AS8 AS10 AS12 AS14 AS16 AS18 AS20 BA8 BA10 BA12 BA14 BA16 BA18 BA20 T7:T20 AB7:AB20 AJ7:AJ20 AR7:AR20 AZ7:AZ20 T22 AZ22 AR22 AJ22 AB22 T24 T26 T28 AB24 AB26 AB28 AJ24 AJ26 AJ28 AR24 AR26 AR28 AZ24 AZ26 AZ28"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6</vt:i4>
      </vt:variant>
      <vt:variant>
        <vt:lpstr>Intervalos com nome</vt:lpstr>
      </vt:variant>
      <vt:variant>
        <vt:i4>4</vt:i4>
      </vt:variant>
    </vt:vector>
  </HeadingPairs>
  <TitlesOfParts>
    <vt:vector size="10" baseType="lpstr">
      <vt:lpstr>Início</vt:lpstr>
      <vt:lpstr>Domínio 1</vt:lpstr>
      <vt:lpstr>Domínio 2</vt:lpstr>
      <vt:lpstr>Domínio 3</vt:lpstr>
      <vt:lpstr>Domínio 4</vt:lpstr>
      <vt:lpstr>Metas gerais TEIP</vt:lpstr>
      <vt:lpstr>'Domínio 1'!Área_de_Impressão</vt:lpstr>
      <vt:lpstr>'Domínio 2'!Área_de_Impressão</vt:lpstr>
      <vt:lpstr>'Domínio 3'!Área_de_Impressão</vt:lpstr>
      <vt:lpstr>'Domínio 4'!Área_de_Impressão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Paulo André (DGE)</dc:creator>
  <cp:lastModifiedBy>Admin</cp:lastModifiedBy>
  <cp:lastPrinted>2015-03-17T10:39:56Z</cp:lastPrinted>
  <dcterms:created xsi:type="dcterms:W3CDTF">2015-03-31T15:36:17Z</dcterms:created>
  <dcterms:modified xsi:type="dcterms:W3CDTF">2016-07-04T09:22:42Z</dcterms:modified>
</cp:coreProperties>
</file>